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5.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11.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bookViews>
    <workbookView xWindow="0" yWindow="0" windowWidth="25440" windowHeight="11700"/>
  </bookViews>
  <sheets>
    <sheet name="Erklärung" sheetId="1" r:id="rId1"/>
    <sheet name="Basisdaten" sheetId="2" r:id="rId2"/>
    <sheet name="Vereinfachtes Verfahren" sheetId="3" r:id="rId3"/>
    <sheet name="Alternativenprüfung" sheetId="4" r:id="rId4"/>
    <sheet name="Wirtschaftlichkeitsberechnung" sheetId="5" r:id="rId5"/>
    <sheet name="Kostenzusammenstellung" sheetId="8" state="hidden" r:id="rId6"/>
    <sheet name="Kostenrechner" sheetId="6" state="hidden" r:id="rId7"/>
    <sheet name="Grafiken Kostenrechner" sheetId="7" state="hidden" r:id="rId8"/>
  </sheets>
  <definedNames>
    <definedName name="_xlnm.Print_Area" localSheetId="3">Alternativenprüfung!$A$1:$H$141</definedName>
    <definedName name="_xlnm.Print_Area" localSheetId="1">Basisdaten!$A$1:$H$74</definedName>
    <definedName name="_xlnm.Print_Area" localSheetId="2">'Vereinfachtes Verfahren'!$A$1:$H$42</definedName>
    <definedName name="_xlnm.Print_Area" localSheetId="4">Wirtschaftlichkeitsberechnung!$A$1:$P$108</definedName>
    <definedName name="Print_Area" localSheetId="3">Alternativenprüfung!$A$1:$H$141</definedName>
    <definedName name="Print_Area" localSheetId="1">Basisdaten!$A$1:$H$66</definedName>
    <definedName name="Print_Area" localSheetId="0">Erklärung!$A$1:$E$72</definedName>
    <definedName name="Print_Area" localSheetId="7">'Grafiken Kostenrechner'!$A$1:$H$36</definedName>
    <definedName name="Print_Area" localSheetId="6">Kostenrechner!$A$1:$H$55</definedName>
    <definedName name="Print_Area" localSheetId="2">'Vereinfachtes Verfahren'!$A$1:$H$42</definedName>
    <definedName name="Print_Area" localSheetId="4">Wirtschaftlichkeitsberechnung!$A$1:$P$108</definedName>
    <definedName name="Print_Titles" localSheetId="3">Alternativenprüfung!$1:$6</definedName>
    <definedName name="Print_Titles" localSheetId="4">Wirtschaftlichkeitsberechnung!$1:$7</definedName>
    <definedName name="Z_FE27F3BB_8686_48A9_9FE6_C2348F62E79E_.wvu.Cols" localSheetId="3" hidden="1">Alternativenprüfung!$I:$AH</definedName>
    <definedName name="Z_FE27F3BB_8686_48A9_9FE6_C2348F62E79E_.wvu.Cols" localSheetId="1" hidden="1">Basisdaten!$I:$R</definedName>
    <definedName name="Z_FE27F3BB_8686_48A9_9FE6_C2348F62E79E_.wvu.Cols" localSheetId="2" hidden="1">'Vereinfachtes Verfahren'!$I:$S</definedName>
    <definedName name="Z_FE27F3BB_8686_48A9_9FE6_C2348F62E79E_.wvu.Cols" localSheetId="4" hidden="1">Wirtschaftlichkeitsberechnung!$Q:$AP</definedName>
    <definedName name="Z_FE27F3BB_8686_48A9_9FE6_C2348F62E79E_.wvu.PrintArea" localSheetId="3" hidden="1">Alternativenprüfung!$A$1:$H$141</definedName>
    <definedName name="Z_FE27F3BB_8686_48A9_9FE6_C2348F62E79E_.wvu.PrintArea" localSheetId="1" hidden="1">Basisdaten!$A$1:$H$66</definedName>
    <definedName name="Z_FE27F3BB_8686_48A9_9FE6_C2348F62E79E_.wvu.PrintArea" localSheetId="0" hidden="1">Erklärung!$A$1:$E$72</definedName>
    <definedName name="Z_FE27F3BB_8686_48A9_9FE6_C2348F62E79E_.wvu.PrintArea" localSheetId="7" hidden="1">'Grafiken Kostenrechner'!$A$1:$H$36</definedName>
    <definedName name="Z_FE27F3BB_8686_48A9_9FE6_C2348F62E79E_.wvu.PrintArea" localSheetId="6" hidden="1">Kostenrechner!$A$1:$H$55</definedName>
    <definedName name="Z_FE27F3BB_8686_48A9_9FE6_C2348F62E79E_.wvu.PrintArea" localSheetId="2" hidden="1">'Vereinfachtes Verfahren'!$A$1:$H$42</definedName>
    <definedName name="Z_FE27F3BB_8686_48A9_9FE6_C2348F62E79E_.wvu.PrintArea" localSheetId="4" hidden="1">Wirtschaftlichkeitsberechnung!$A$1:$P$108</definedName>
    <definedName name="Z_FE27F3BB_8686_48A9_9FE6_C2348F62E79E_.wvu.PrintTitles" localSheetId="3" hidden="1">Alternativenprüfung!$1:$6</definedName>
    <definedName name="Z_FE27F3BB_8686_48A9_9FE6_C2348F62E79E_.wvu.PrintTitles" localSheetId="4" hidden="1">Wirtschaftlichkeitsberechnung!$1:$10</definedName>
    <definedName name="Z_FE27F3BB_8686_48A9_9FE6_C2348F62E79E_.wvu.Rows" localSheetId="3" hidden="1">Alternativenprüfung!$7:$51</definedName>
    <definedName name="Z_FE27F3BB_8686_48A9_9FE6_C2348F62E79E_.wvu.Rows" localSheetId="1" hidden="1">Basisdaten!$189:$298</definedName>
    <definedName name="Z_FE27F3BB_8686_48A9_9FE6_C2348F62E79E_.wvu.Rows" localSheetId="4" hidden="1">Wirtschaftlichkeitsberechnung!$109:$119</definedName>
  </definedNames>
  <calcPr calcId="162913"/>
  <customWorkbookViews>
    <customWorkbookView name="tamara - Persönliche Ansicht" guid="{FE27F3BB-8686-48A9-9FE6-C2348F62E79E}" mergeInterval="0" personalView="1" maximized="1" xWindow="1" yWindow="1" windowWidth="1916" windowHeight="850" activeSheetId="5"/>
  </customWorkbookViews>
</workbook>
</file>

<file path=xl/calcChain.xml><?xml version="1.0" encoding="utf-8"?>
<calcChain xmlns="http://schemas.openxmlformats.org/spreadsheetml/2006/main">
  <c r="N80" i="2" l="1"/>
  <c r="F2" i="8" l="1"/>
  <c r="A2" i="8"/>
  <c r="AT150" i="5" l="1"/>
  <c r="AS150" i="5"/>
  <c r="AR150" i="5"/>
  <c r="AT133" i="5"/>
  <c r="AS133" i="5"/>
  <c r="AR133" i="5"/>
  <c r="AT143" i="5"/>
  <c r="AS143" i="5"/>
  <c r="AR143" i="5"/>
  <c r="AT137" i="5"/>
  <c r="AS137" i="5"/>
  <c r="AR137" i="5"/>
  <c r="AD75" i="5"/>
  <c r="M40" i="5"/>
  <c r="I40" i="5"/>
  <c r="E40" i="5"/>
  <c r="N23" i="5"/>
  <c r="N22" i="5"/>
  <c r="J23" i="5"/>
  <c r="J22" i="5"/>
  <c r="F23" i="5"/>
  <c r="F22" i="5"/>
  <c r="AC18" i="5"/>
  <c r="Y18" i="5"/>
  <c r="U18" i="5"/>
  <c r="D61" i="2" l="1"/>
  <c r="AD74" i="5" l="1"/>
  <c r="AD73" i="5"/>
  <c r="F22" i="2" l="1"/>
  <c r="F18" i="2"/>
  <c r="D62" i="2" l="1"/>
  <c r="M59" i="2"/>
  <c r="C6" i="7" l="1"/>
  <c r="C5" i="7"/>
  <c r="C4" i="7"/>
  <c r="G2" i="7"/>
  <c r="A2" i="7"/>
  <c r="H47" i="6"/>
  <c r="F47" i="6"/>
  <c r="D47" i="6"/>
  <c r="H39" i="6"/>
  <c r="F39" i="6"/>
  <c r="D39" i="6"/>
  <c r="V38" i="6"/>
  <c r="Y37" i="6"/>
  <c r="S37" i="6"/>
  <c r="V36" i="6"/>
  <c r="Y35" i="6"/>
  <c r="S35" i="6"/>
  <c r="V34" i="6"/>
  <c r="V33" i="6"/>
  <c r="Y32" i="6"/>
  <c r="S32" i="6"/>
  <c r="V31" i="6"/>
  <c r="Y30" i="6"/>
  <c r="S30" i="6"/>
  <c r="N30" i="6"/>
  <c r="Y29" i="6"/>
  <c r="S29" i="6"/>
  <c r="N29" i="6"/>
  <c r="S40" i="6" s="1"/>
  <c r="Y28" i="6"/>
  <c r="S28" i="6"/>
  <c r="Y27" i="6"/>
  <c r="V27" i="6"/>
  <c r="V26" i="6"/>
  <c r="S26" i="6"/>
  <c r="Y25" i="6"/>
  <c r="S25" i="6"/>
  <c r="Y24" i="6"/>
  <c r="V24" i="6"/>
  <c r="H24" i="6"/>
  <c r="H27" i="6" s="1"/>
  <c r="Y21" i="6" s="1"/>
  <c r="F24" i="6"/>
  <c r="F27" i="6" s="1"/>
  <c r="V21" i="6" s="1"/>
  <c r="D24" i="6"/>
  <c r="D27" i="6" s="1"/>
  <c r="V23" i="6"/>
  <c r="S23" i="6"/>
  <c r="Y22" i="6"/>
  <c r="S22" i="6"/>
  <c r="N15" i="6"/>
  <c r="P8" i="7" s="1"/>
  <c r="L15" i="6"/>
  <c r="O8" i="7" s="1"/>
  <c r="J15" i="6"/>
  <c r="D34" i="6" s="1"/>
  <c r="J11" i="6"/>
  <c r="E11" i="6"/>
  <c r="G9" i="6"/>
  <c r="D9" i="6"/>
  <c r="C6" i="6"/>
  <c r="C5" i="6"/>
  <c r="C4" i="6"/>
  <c r="G2" i="6"/>
  <c r="A2" i="6"/>
  <c r="E106" i="5"/>
  <c r="AW74" i="5"/>
  <c r="AV74" i="5"/>
  <c r="AU74" i="5"/>
  <c r="AQ76" i="5"/>
  <c r="AQ77" i="5" s="1"/>
  <c r="AQ78" i="5" s="1"/>
  <c r="AQ79" i="5" s="1"/>
  <c r="AQ80" i="5" s="1"/>
  <c r="AQ81" i="5" s="1"/>
  <c r="AQ82" i="5" s="1"/>
  <c r="AQ83" i="5" s="1"/>
  <c r="AQ84" i="5" s="1"/>
  <c r="AQ85" i="5" s="1"/>
  <c r="AQ86" i="5" s="1"/>
  <c r="AQ87" i="5" s="1"/>
  <c r="AQ88" i="5" s="1"/>
  <c r="AQ89" i="5" s="1"/>
  <c r="AQ90" i="5" s="1"/>
  <c r="AQ91" i="5" s="1"/>
  <c r="AQ92" i="5" s="1"/>
  <c r="AQ93" i="5" s="1"/>
  <c r="AQ94" i="5" s="1"/>
  <c r="AQ95" i="5" s="1"/>
  <c r="AI75" i="5"/>
  <c r="AS74" i="5"/>
  <c r="AI73" i="5"/>
  <c r="AB66" i="5"/>
  <c r="X66" i="5"/>
  <c r="T66" i="5"/>
  <c r="AB65" i="5"/>
  <c r="X65" i="5"/>
  <c r="T65" i="5"/>
  <c r="AB64" i="5"/>
  <c r="X64" i="5"/>
  <c r="T64" i="5"/>
  <c r="N62" i="5"/>
  <c r="J62" i="5"/>
  <c r="F62" i="5"/>
  <c r="AB52" i="5"/>
  <c r="X52" i="5"/>
  <c r="T52" i="5"/>
  <c r="AB51" i="5"/>
  <c r="X51" i="5"/>
  <c r="T51" i="5"/>
  <c r="AB50" i="5"/>
  <c r="X50" i="5"/>
  <c r="T50" i="5"/>
  <c r="N49" i="5"/>
  <c r="AB49" i="5" s="1"/>
  <c r="J49" i="5"/>
  <c r="X49" i="5" s="1"/>
  <c r="F49" i="5"/>
  <c r="T49" i="5" s="1"/>
  <c r="N48" i="5"/>
  <c r="J48" i="5"/>
  <c r="F48" i="5"/>
  <c r="V40" i="5"/>
  <c r="X40" i="5"/>
  <c r="W40" i="5"/>
  <c r="AO29" i="5"/>
  <c r="AO28" i="5"/>
  <c r="AO27" i="5"/>
  <c r="AO26" i="5"/>
  <c r="AD26" i="5"/>
  <c r="AC26" i="5"/>
  <c r="AB26" i="5"/>
  <c r="Z26" i="5"/>
  <c r="Y26" i="5"/>
  <c r="X26" i="5"/>
  <c r="V26" i="5"/>
  <c r="U26" i="5"/>
  <c r="T26" i="5"/>
  <c r="AD25" i="5"/>
  <c r="AC25" i="5"/>
  <c r="AB25" i="5"/>
  <c r="Z25" i="5"/>
  <c r="Y25" i="5"/>
  <c r="X25" i="5"/>
  <c r="V25" i="5"/>
  <c r="U25" i="5"/>
  <c r="T25" i="5"/>
  <c r="AN24" i="5"/>
  <c r="AN25" i="5" s="1"/>
  <c r="AO25" i="5" s="1"/>
  <c r="AD24" i="5"/>
  <c r="AC24" i="5"/>
  <c r="AB24" i="5"/>
  <c r="Z24" i="5"/>
  <c r="Y24" i="5"/>
  <c r="X24" i="5"/>
  <c r="V24" i="5"/>
  <c r="U24" i="5"/>
  <c r="T24" i="5"/>
  <c r="AO23" i="5"/>
  <c r="AD23" i="5"/>
  <c r="AC23" i="5"/>
  <c r="AB23" i="5"/>
  <c r="Z23" i="5"/>
  <c r="Y23" i="5"/>
  <c r="X23" i="5"/>
  <c r="V23" i="5"/>
  <c r="U23" i="5"/>
  <c r="T23" i="5"/>
  <c r="O23" i="5"/>
  <c r="K23" i="5"/>
  <c r="G23" i="5"/>
  <c r="AO22" i="5"/>
  <c r="AB22" i="5"/>
  <c r="X22" i="5"/>
  <c r="T22" i="5"/>
  <c r="O22" i="5"/>
  <c r="K22" i="5"/>
  <c r="Y22" i="5" s="1"/>
  <c r="G22" i="5"/>
  <c r="AO21" i="5"/>
  <c r="M71" i="5"/>
  <c r="I71" i="5"/>
  <c r="E59" i="5"/>
  <c r="T16" i="5"/>
  <c r="D14" i="5"/>
  <c r="D13" i="5"/>
  <c r="AR135" i="5" s="1"/>
  <c r="C6" i="5"/>
  <c r="C5" i="5"/>
  <c r="C4" i="5"/>
  <c r="M2" i="5"/>
  <c r="A2" i="5"/>
  <c r="M132" i="4"/>
  <c r="M131" i="4"/>
  <c r="M130" i="4"/>
  <c r="H122" i="4"/>
  <c r="C122" i="4"/>
  <c r="Q120" i="4"/>
  <c r="E119" i="4"/>
  <c r="Q121" i="4" s="1"/>
  <c r="B109" i="4"/>
  <c r="L106" i="4"/>
  <c r="L105" i="4"/>
  <c r="L101" i="4"/>
  <c r="C125" i="4" s="1"/>
  <c r="B101" i="4"/>
  <c r="C98" i="4"/>
  <c r="C95" i="4"/>
  <c r="P91" i="4"/>
  <c r="E91" i="4"/>
  <c r="F87" i="4"/>
  <c r="R85" i="4"/>
  <c r="K132" i="4" s="1"/>
  <c r="L132" i="4" s="1"/>
  <c r="C85" i="4"/>
  <c r="C84" i="4"/>
  <c r="R78" i="4"/>
  <c r="K131" i="4" s="1"/>
  <c r="L131" i="4" s="1"/>
  <c r="E78" i="4"/>
  <c r="B76" i="4"/>
  <c r="F74" i="4"/>
  <c r="F73" i="4"/>
  <c r="F71" i="4"/>
  <c r="D71" i="4"/>
  <c r="Q64" i="4"/>
  <c r="K130" i="4" s="1"/>
  <c r="L130" i="4" s="1"/>
  <c r="E64" i="4"/>
  <c r="F62" i="4"/>
  <c r="C61" i="4"/>
  <c r="C59" i="4"/>
  <c r="G47" i="4"/>
  <c r="E47" i="4"/>
  <c r="G32" i="4"/>
  <c r="F29" i="4"/>
  <c r="N28" i="4"/>
  <c r="M28" i="4"/>
  <c r="L28" i="4"/>
  <c r="K28" i="4"/>
  <c r="K27" i="4"/>
  <c r="G24" i="4"/>
  <c r="D24" i="4"/>
  <c r="G22" i="4"/>
  <c r="D22" i="4"/>
  <c r="C50" i="4" s="1"/>
  <c r="G20" i="4"/>
  <c r="D20" i="4"/>
  <c r="L22" i="4" s="1"/>
  <c r="G18" i="4"/>
  <c r="D18" i="4"/>
  <c r="J48" i="4" s="1"/>
  <c r="H47" i="4" s="1"/>
  <c r="F8" i="4"/>
  <c r="C6" i="4"/>
  <c r="C5" i="4"/>
  <c r="C4" i="4"/>
  <c r="G2" i="4"/>
  <c r="A2" i="4"/>
  <c r="C6" i="3"/>
  <c r="C5" i="3"/>
  <c r="C4" i="3"/>
  <c r="G2" i="3"/>
  <c r="A2" i="3"/>
  <c r="M293" i="2"/>
  <c r="M292" i="2"/>
  <c r="M291" i="2"/>
  <c r="K291" i="2"/>
  <c r="L291" i="2" s="1"/>
  <c r="H283" i="2"/>
  <c r="C283" i="2"/>
  <c r="Q281" i="2"/>
  <c r="E280" i="2"/>
  <c r="F280" i="2" s="1"/>
  <c r="C275" i="2"/>
  <c r="B270" i="2"/>
  <c r="L267" i="2"/>
  <c r="C267" i="2"/>
  <c r="L266" i="2"/>
  <c r="B262" i="2"/>
  <c r="C256" i="2"/>
  <c r="P252" i="2"/>
  <c r="E252" i="2"/>
  <c r="F248" i="2"/>
  <c r="R246" i="2"/>
  <c r="K293" i="2" s="1"/>
  <c r="L293" i="2" s="1"/>
  <c r="C246" i="2"/>
  <c r="C245" i="2"/>
  <c r="R239" i="2"/>
  <c r="K292" i="2" s="1"/>
  <c r="E239" i="2"/>
  <c r="B237" i="2"/>
  <c r="F235" i="2"/>
  <c r="F234" i="2"/>
  <c r="F232" i="2"/>
  <c r="D232" i="2"/>
  <c r="Q225" i="2"/>
  <c r="E225" i="2"/>
  <c r="F223" i="2"/>
  <c r="C222" i="2"/>
  <c r="C220" i="2"/>
  <c r="E200" i="2"/>
  <c r="B200" i="2"/>
  <c r="M83" i="2"/>
  <c r="L81" i="2"/>
  <c r="K81" i="2"/>
  <c r="L80" i="2"/>
  <c r="K80" i="2"/>
  <c r="L79" i="2"/>
  <c r="Q78" i="2"/>
  <c r="P78" i="2"/>
  <c r="K78" i="2"/>
  <c r="J62" i="2"/>
  <c r="O62" i="2" s="1"/>
  <c r="H61" i="2" s="1"/>
  <c r="C63" i="2" s="1"/>
  <c r="J61" i="2"/>
  <c r="K62" i="2" s="1"/>
  <c r="G61" i="2"/>
  <c r="D60" i="2"/>
  <c r="L59" i="2"/>
  <c r="H62" i="2" s="1"/>
  <c r="L44" i="2"/>
  <c r="G44" i="2"/>
  <c r="F42" i="2"/>
  <c r="L35" i="2"/>
  <c r="N35" i="2" s="1"/>
  <c r="F28" i="2" s="1"/>
  <c r="L33" i="2"/>
  <c r="G2" i="2"/>
  <c r="A2" i="2"/>
  <c r="I42" i="5" l="1"/>
  <c r="M42" i="5"/>
  <c r="AT134" i="5" s="1"/>
  <c r="E42" i="5"/>
  <c r="M33" i="2"/>
  <c r="G198" i="2" s="1"/>
  <c r="V22" i="5"/>
  <c r="V27" i="5" s="1"/>
  <c r="E32" i="5" s="1"/>
  <c r="Q282" i="2"/>
  <c r="B278" i="2" s="1"/>
  <c r="L292" i="2"/>
  <c r="S21" i="6"/>
  <c r="M81" i="2"/>
  <c r="T27" i="5"/>
  <c r="E30" i="5" s="1"/>
  <c r="AR74" i="5"/>
  <c r="V22" i="6"/>
  <c r="V42" i="6" s="1"/>
  <c r="Y23" i="6"/>
  <c r="Y42" i="6" s="1"/>
  <c r="S24" i="6"/>
  <c r="V25" i="6"/>
  <c r="Y26" i="6"/>
  <c r="S27" i="6"/>
  <c r="V28" i="6"/>
  <c r="V29" i="6"/>
  <c r="V30" i="6"/>
  <c r="Y31" i="6"/>
  <c r="S33" i="6"/>
  <c r="F34" i="6"/>
  <c r="Y34" i="6"/>
  <c r="S36" i="6"/>
  <c r="V37" i="6"/>
  <c r="Y38" i="6"/>
  <c r="S39" i="6"/>
  <c r="V40" i="6"/>
  <c r="X27" i="5"/>
  <c r="I30" i="5" s="1"/>
  <c r="H34" i="6"/>
  <c r="V39" i="6"/>
  <c r="Y40" i="6"/>
  <c r="N8" i="7"/>
  <c r="S31" i="6"/>
  <c r="V32" i="6"/>
  <c r="Y33" i="6"/>
  <c r="S34" i="6"/>
  <c r="V35" i="6"/>
  <c r="Y36" i="6"/>
  <c r="S38" i="6"/>
  <c r="Y39" i="6"/>
  <c r="K79" i="2"/>
  <c r="M80" i="2"/>
  <c r="N59" i="2"/>
  <c r="E71" i="5"/>
  <c r="AO24" i="5"/>
  <c r="E38" i="5"/>
  <c r="AR100" i="5" s="1"/>
  <c r="AB27" i="5"/>
  <c r="M30" i="5" s="1"/>
  <c r="U22" i="5"/>
  <c r="AC22" i="5"/>
  <c r="AS135" i="5"/>
  <c r="L23" i="4"/>
  <c r="N23" i="4" s="1"/>
  <c r="F17" i="4" s="1"/>
  <c r="AT135" i="5"/>
  <c r="F12" i="6"/>
  <c r="D40" i="6" s="1"/>
  <c r="D42" i="6" s="1"/>
  <c r="T21" i="6" s="1"/>
  <c r="J47" i="4"/>
  <c r="K48" i="4" s="1"/>
  <c r="C48" i="4"/>
  <c r="L78" i="2"/>
  <c r="M78" i="2" s="1"/>
  <c r="G31" i="4"/>
  <c r="L62" i="2"/>
  <c r="L48" i="4"/>
  <c r="F50" i="4" s="1"/>
  <c r="AI74" i="5"/>
  <c r="AD22" i="5"/>
  <c r="AD27" i="5" s="1"/>
  <c r="M32" i="5" s="1"/>
  <c r="Y27" i="5"/>
  <c r="I31" i="5" s="1"/>
  <c r="Z22" i="5"/>
  <c r="Z27" i="5" s="1"/>
  <c r="I32" i="5" s="1"/>
  <c r="I38" i="5"/>
  <c r="AS100" i="5" s="1"/>
  <c r="I59" i="5"/>
  <c r="L107" i="4"/>
  <c r="O133" i="4" s="1"/>
  <c r="M133" i="4" s="1"/>
  <c r="B117" i="4"/>
  <c r="F119" i="4"/>
  <c r="AT74" i="5"/>
  <c r="M38" i="5"/>
  <c r="AT100" i="5" s="1"/>
  <c r="M59" i="5"/>
  <c r="F69" i="2"/>
  <c r="C65" i="2"/>
  <c r="M22" i="4"/>
  <c r="L31" i="4"/>
  <c r="C106" i="4"/>
  <c r="C114" i="4"/>
  <c r="S91" i="4"/>
  <c r="K133" i="4" s="1"/>
  <c r="E62" i="5" l="1"/>
  <c r="T63" i="5" s="1"/>
  <c r="E67" i="5" s="1"/>
  <c r="AR103" i="5" s="1"/>
  <c r="M62" i="5"/>
  <c r="AB63" i="5" s="1"/>
  <c r="M67" i="5" s="1"/>
  <c r="M79" i="2"/>
  <c r="L73" i="2"/>
  <c r="B19" i="3" s="1"/>
  <c r="K73" i="2"/>
  <c r="A198" i="2" s="1"/>
  <c r="F65" i="2"/>
  <c r="I62" i="5"/>
  <c r="X63" i="5" s="1"/>
  <c r="I67" i="5" s="1"/>
  <c r="H40" i="6"/>
  <c r="H42" i="6" s="1"/>
  <c r="Z21" i="6" s="1"/>
  <c r="P9" i="7" s="1"/>
  <c r="O71" i="2"/>
  <c r="F40" i="6"/>
  <c r="F42" i="6" s="1"/>
  <c r="W21" i="6" s="1"/>
  <c r="W22" i="6" s="1"/>
  <c r="O10" i="7" s="1"/>
  <c r="D198" i="2"/>
  <c r="G200" i="2" s="1"/>
  <c r="O72" i="2"/>
  <c r="G19" i="3"/>
  <c r="L268" i="2"/>
  <c r="O294" i="2" s="1"/>
  <c r="M294" i="2" s="1"/>
  <c r="AC27" i="5"/>
  <c r="M31" i="5" s="1"/>
  <c r="M34" i="5" s="1"/>
  <c r="AT101" i="5" s="1"/>
  <c r="U27" i="5"/>
  <c r="E31" i="5" s="1"/>
  <c r="E34" i="5" s="1"/>
  <c r="AR101" i="5" s="1"/>
  <c r="C286" i="2"/>
  <c r="C259" i="2"/>
  <c r="S252" i="2"/>
  <c r="K294" i="2" s="1"/>
  <c r="S42" i="6"/>
  <c r="H71" i="2"/>
  <c r="F71" i="2"/>
  <c r="M73" i="2"/>
  <c r="J191" i="2"/>
  <c r="J68" i="2" s="1"/>
  <c r="M48" i="5"/>
  <c r="AB48" i="5" s="1"/>
  <c r="M54" i="5" s="1"/>
  <c r="I34" i="5"/>
  <c r="AS101" i="5" s="1"/>
  <c r="C130" i="4"/>
  <c r="C133" i="4"/>
  <c r="C132" i="4"/>
  <c r="L133" i="4"/>
  <c r="C131" i="4" s="1"/>
  <c r="H69" i="2"/>
  <c r="M82" i="2"/>
  <c r="B73" i="2" s="1"/>
  <c r="G69" i="2"/>
  <c r="I48" i="5"/>
  <c r="AS134" i="5"/>
  <c r="N9" i="7"/>
  <c r="T22" i="6"/>
  <c r="U21" i="6"/>
  <c r="AT144" i="5"/>
  <c r="AT138" i="5"/>
  <c r="AT136" i="5"/>
  <c r="AT140" i="5" s="1"/>
  <c r="AT141" i="5" s="1"/>
  <c r="AR134" i="5"/>
  <c r="E48" i="5"/>
  <c r="Z22" i="6" l="1"/>
  <c r="P10" i="7" s="1"/>
  <c r="O9" i="7"/>
  <c r="AA21" i="6"/>
  <c r="X21" i="6"/>
  <c r="E75" i="5"/>
  <c r="L294" i="2"/>
  <c r="C292" i="2" s="1"/>
  <c r="C293" i="2"/>
  <c r="C294" i="2"/>
  <c r="C291" i="2"/>
  <c r="E73" i="5"/>
  <c r="AR75" i="5" s="1"/>
  <c r="I73" i="5"/>
  <c r="AS75" i="5" s="1"/>
  <c r="Q71" i="2"/>
  <c r="P71" i="2"/>
  <c r="E198" i="2"/>
  <c r="F196" i="2"/>
  <c r="A19" i="3"/>
  <c r="J14" i="3"/>
  <c r="D19" i="3" s="1"/>
  <c r="G21" i="3" s="1"/>
  <c r="E196" i="2"/>
  <c r="F197" i="2"/>
  <c r="E197" i="2"/>
  <c r="F198" i="2"/>
  <c r="F19" i="3"/>
  <c r="B198" i="2"/>
  <c r="M73" i="5"/>
  <c r="AT75" i="5" s="1"/>
  <c r="AS103" i="5"/>
  <c r="I75" i="5"/>
  <c r="AT103" i="5"/>
  <c r="M75" i="5"/>
  <c r="AU103" i="5"/>
  <c r="AT102" i="5"/>
  <c r="M74" i="5"/>
  <c r="AT139" i="5"/>
  <c r="AT152" i="5"/>
  <c r="AT153" i="5" s="1"/>
  <c r="AS144" i="5"/>
  <c r="AS136" i="5"/>
  <c r="AS140" i="5" s="1"/>
  <c r="AS141" i="5" s="1"/>
  <c r="AS138" i="5"/>
  <c r="T48" i="5"/>
  <c r="E54" i="5" s="1"/>
  <c r="X48" i="5"/>
  <c r="I54" i="5" s="1"/>
  <c r="Z23" i="6"/>
  <c r="P11" i="7" s="1"/>
  <c r="AA22" i="6"/>
  <c r="T23" i="6"/>
  <c r="N11" i="7" s="1"/>
  <c r="U22" i="6"/>
  <c r="N10" i="7"/>
  <c r="W23" i="6"/>
  <c r="O11" i="7" s="1"/>
  <c r="X22" i="6"/>
  <c r="AR138" i="5"/>
  <c r="AR136" i="5"/>
  <c r="AR140" i="5" s="1"/>
  <c r="AR141" i="5" s="1"/>
  <c r="AR144" i="5"/>
  <c r="AW75" i="5" l="1"/>
  <c r="AW76" i="5" s="1"/>
  <c r="AW77" i="5" s="1"/>
  <c r="AW78" i="5" s="1"/>
  <c r="AW79" i="5" s="1"/>
  <c r="AW80" i="5" s="1"/>
  <c r="AW81" i="5" s="1"/>
  <c r="AW82" i="5" s="1"/>
  <c r="AW83" i="5" s="1"/>
  <c r="AW84" i="5" s="1"/>
  <c r="AW85" i="5" s="1"/>
  <c r="AW86" i="5" s="1"/>
  <c r="AW87" i="5" s="1"/>
  <c r="AW88" i="5" s="1"/>
  <c r="AW89" i="5" s="1"/>
  <c r="AW90" i="5" s="1"/>
  <c r="AW91" i="5" s="1"/>
  <c r="AW92" i="5" s="1"/>
  <c r="AW93" i="5" s="1"/>
  <c r="AW94" i="5" s="1"/>
  <c r="AW95" i="5" s="1"/>
  <c r="AH75" i="5" s="1"/>
  <c r="D17" i="3"/>
  <c r="B21" i="3" s="1"/>
  <c r="A13" i="3"/>
  <c r="E16" i="3"/>
  <c r="E14" i="3"/>
  <c r="F18" i="3"/>
  <c r="E19" i="3"/>
  <c r="B14" i="3"/>
  <c r="F16" i="3"/>
  <c r="D18" i="3"/>
  <c r="E21" i="3" s="1"/>
  <c r="B140" i="4"/>
  <c r="F14" i="3"/>
  <c r="E137" i="4"/>
  <c r="E17" i="3"/>
  <c r="E138" i="4"/>
  <c r="F17" i="3"/>
  <c r="E18" i="3"/>
  <c r="B210" i="2"/>
  <c r="A211" i="2"/>
  <c r="AT104" i="5"/>
  <c r="M77" i="5"/>
  <c r="M79" i="5" s="1"/>
  <c r="AR102" i="5"/>
  <c r="AR104" i="5" s="1"/>
  <c r="E74" i="5"/>
  <c r="E77" i="5" s="1"/>
  <c r="W24" i="6"/>
  <c r="O12" i="7" s="1"/>
  <c r="X23" i="6"/>
  <c r="U23" i="6"/>
  <c r="T24" i="6"/>
  <c r="Z24" i="6"/>
  <c r="AA23" i="6"/>
  <c r="AS139" i="5"/>
  <c r="AV75" i="5" s="1"/>
  <c r="AV76" i="5" s="1"/>
  <c r="AV77" i="5" s="1"/>
  <c r="AV78" i="5" s="1"/>
  <c r="AV79" i="5" s="1"/>
  <c r="AV80" i="5" s="1"/>
  <c r="AV81" i="5" s="1"/>
  <c r="AV82" i="5" s="1"/>
  <c r="AV83" i="5" s="1"/>
  <c r="AV84" i="5" s="1"/>
  <c r="AV85" i="5" s="1"/>
  <c r="AV86" i="5" s="1"/>
  <c r="AV87" i="5" s="1"/>
  <c r="AV88" i="5" s="1"/>
  <c r="AV89" i="5" s="1"/>
  <c r="AV90" i="5" s="1"/>
  <c r="AV91" i="5" s="1"/>
  <c r="AV92" i="5" s="1"/>
  <c r="AV93" i="5" s="1"/>
  <c r="AV94" i="5" s="1"/>
  <c r="AV95" i="5" s="1"/>
  <c r="AS152" i="5"/>
  <c r="AS153" i="5" s="1"/>
  <c r="AR152" i="5"/>
  <c r="AR153" i="5" s="1"/>
  <c r="AR139" i="5"/>
  <c r="AS102" i="5"/>
  <c r="AS104" i="5" s="1"/>
  <c r="I74" i="5"/>
  <c r="I77" i="5" s="1"/>
  <c r="AU75" i="5" l="1"/>
  <c r="AU76" i="5" s="1"/>
  <c r="AU77" i="5" s="1"/>
  <c r="AU78" i="5" s="1"/>
  <c r="AU79" i="5" s="1"/>
  <c r="AU80" i="5" s="1"/>
  <c r="AU81" i="5" s="1"/>
  <c r="AU82" i="5" s="1"/>
  <c r="AU83" i="5" s="1"/>
  <c r="AU84" i="5" s="1"/>
  <c r="AU85" i="5" s="1"/>
  <c r="AU86" i="5" s="1"/>
  <c r="AU87" i="5" s="1"/>
  <c r="AU88" i="5" s="1"/>
  <c r="AU89" i="5" s="1"/>
  <c r="AU90" i="5" s="1"/>
  <c r="AU91" i="5" s="1"/>
  <c r="AU92" i="5" s="1"/>
  <c r="AU93" i="5" s="1"/>
  <c r="AU94" i="5" s="1"/>
  <c r="AU95" i="5" s="1"/>
  <c r="AH73" i="5" s="1"/>
  <c r="AH74" i="5"/>
  <c r="A40" i="3"/>
  <c r="J31" i="3"/>
  <c r="B36" i="3" s="1"/>
  <c r="B41" i="3"/>
  <c r="B37" i="3"/>
  <c r="B31" i="3"/>
  <c r="A32" i="3"/>
  <c r="AT73" i="5"/>
  <c r="AT76" i="5" s="1"/>
  <c r="AT77" i="5" s="1"/>
  <c r="AT78" i="5" s="1"/>
  <c r="AT79" i="5" s="1"/>
  <c r="AT80" i="5" s="1"/>
  <c r="AT81" i="5" s="1"/>
  <c r="AT82" i="5" s="1"/>
  <c r="AT83" i="5" s="1"/>
  <c r="AT84" i="5" s="1"/>
  <c r="AT85" i="5" s="1"/>
  <c r="AT86" i="5" s="1"/>
  <c r="AT87" i="5" s="1"/>
  <c r="AT88" i="5" s="1"/>
  <c r="AT89" i="5" s="1"/>
  <c r="AT90" i="5" s="1"/>
  <c r="AT91" i="5" s="1"/>
  <c r="AT92" i="5" s="1"/>
  <c r="AT93" i="5" s="1"/>
  <c r="AT94" i="5" s="1"/>
  <c r="AT95" i="5" s="1"/>
  <c r="AC75" i="5"/>
  <c r="AC74" i="5"/>
  <c r="AS73" i="5"/>
  <c r="I79" i="5"/>
  <c r="T25" i="6"/>
  <c r="N13" i="7" s="1"/>
  <c r="U24" i="6"/>
  <c r="N12" i="7"/>
  <c r="E79" i="5"/>
  <c r="AC73" i="5"/>
  <c r="AR73" i="5"/>
  <c r="AR76" i="5" s="1"/>
  <c r="W25" i="6"/>
  <c r="X24" i="6"/>
  <c r="Z25" i="6"/>
  <c r="P13" i="7" s="1"/>
  <c r="AA24" i="6"/>
  <c r="P12" i="7"/>
  <c r="AG74" i="5" l="1"/>
  <c r="AG73" i="5"/>
  <c r="AG75" i="5"/>
  <c r="B38" i="3"/>
  <c r="A35" i="3"/>
  <c r="AB73" i="5"/>
  <c r="Z26" i="6"/>
  <c r="P14" i="7" s="1"/>
  <c r="AA25" i="6"/>
  <c r="AB74" i="5"/>
  <c r="W26" i="6"/>
  <c r="O14" i="7" s="1"/>
  <c r="X25" i="6"/>
  <c r="O13" i="7"/>
  <c r="AR77" i="5"/>
  <c r="T26" i="6"/>
  <c r="N14" i="7" s="1"/>
  <c r="U25" i="6"/>
  <c r="AB75" i="5"/>
  <c r="AS76" i="5"/>
  <c r="AS77" i="5" s="1"/>
  <c r="AS78" i="5" s="1"/>
  <c r="AS79" i="5" s="1"/>
  <c r="AS80" i="5" s="1"/>
  <c r="AS81" i="5" s="1"/>
  <c r="AS82" i="5" s="1"/>
  <c r="AS83" i="5" s="1"/>
  <c r="AS84" i="5" s="1"/>
  <c r="AS85" i="5" s="1"/>
  <c r="AS86" i="5" s="1"/>
  <c r="AS87" i="5" s="1"/>
  <c r="AS88" i="5" s="1"/>
  <c r="AS89" i="5" s="1"/>
  <c r="AS90" i="5" s="1"/>
  <c r="AS91" i="5" s="1"/>
  <c r="AS92" i="5" s="1"/>
  <c r="AS93" i="5" s="1"/>
  <c r="AS94" i="5" s="1"/>
  <c r="AS95" i="5" s="1"/>
  <c r="C82" i="5" l="1"/>
  <c r="C81" i="5"/>
  <c r="AA26" i="6"/>
  <c r="Z27" i="6"/>
  <c r="AR78" i="5"/>
  <c r="T27" i="6"/>
  <c r="N15" i="7" s="1"/>
  <c r="U26" i="6"/>
  <c r="X26" i="6"/>
  <c r="W27" i="6"/>
  <c r="W28" i="6" l="1"/>
  <c r="O16" i="7" s="1"/>
  <c r="X27" i="6"/>
  <c r="O15" i="7"/>
  <c r="Z28" i="6"/>
  <c r="P16" i="7" s="1"/>
  <c r="AA27" i="6"/>
  <c r="T28" i="6"/>
  <c r="U27" i="6"/>
  <c r="P15" i="7"/>
  <c r="AR79" i="5"/>
  <c r="AR80" i="5" l="1"/>
  <c r="T29" i="6"/>
  <c r="N17" i="7" s="1"/>
  <c r="U28" i="6"/>
  <c r="N16" i="7"/>
  <c r="AA28" i="6"/>
  <c r="Z29" i="6"/>
  <c r="X28" i="6"/>
  <c r="W29" i="6"/>
  <c r="U29" i="6" l="1"/>
  <c r="T30" i="6"/>
  <c r="W30" i="6"/>
  <c r="O18" i="7" s="1"/>
  <c r="X29" i="6"/>
  <c r="O17" i="7"/>
  <c r="AR81" i="5"/>
  <c r="Z30" i="6"/>
  <c r="AA29" i="6"/>
  <c r="P17" i="7"/>
  <c r="W31" i="6" l="1"/>
  <c r="X30" i="6"/>
  <c r="Z31" i="6"/>
  <c r="AA30" i="6"/>
  <c r="P18" i="7"/>
  <c r="T31" i="6"/>
  <c r="U30" i="6"/>
  <c r="N18" i="7"/>
  <c r="AR82" i="5"/>
  <c r="Z32" i="6" l="1"/>
  <c r="AA31" i="6"/>
  <c r="P19" i="7"/>
  <c r="AR83" i="5"/>
  <c r="T32" i="6"/>
  <c r="U31" i="6"/>
  <c r="N19" i="7"/>
  <c r="W32" i="6"/>
  <c r="X31" i="6"/>
  <c r="O19" i="7"/>
  <c r="T33" i="6" l="1"/>
  <c r="U32" i="6"/>
  <c r="N20" i="7"/>
  <c r="W33" i="6"/>
  <c r="X32" i="6"/>
  <c r="O20" i="7"/>
  <c r="AR84" i="5"/>
  <c r="Z33" i="6"/>
  <c r="AA32" i="6"/>
  <c r="P20" i="7"/>
  <c r="AR85" i="5" l="1"/>
  <c r="X33" i="6"/>
  <c r="W34" i="6"/>
  <c r="O21" i="7"/>
  <c r="AA33" i="6"/>
  <c r="Z34" i="6"/>
  <c r="P21" i="7"/>
  <c r="T34" i="6"/>
  <c r="U33" i="6"/>
  <c r="N21" i="7"/>
  <c r="W35" i="6" l="1"/>
  <c r="X34" i="6"/>
  <c r="O22" i="7"/>
  <c r="Z35" i="6"/>
  <c r="AA34" i="6"/>
  <c r="P22" i="7"/>
  <c r="T35" i="6"/>
  <c r="U34" i="6"/>
  <c r="N22" i="7"/>
  <c r="AR86" i="5"/>
  <c r="Z36" i="6" l="1"/>
  <c r="AA35" i="6"/>
  <c r="P23" i="7"/>
  <c r="AR87" i="5"/>
  <c r="T36" i="6"/>
  <c r="U35" i="6"/>
  <c r="N23" i="7"/>
  <c r="W36" i="6"/>
  <c r="X35" i="6"/>
  <c r="O23" i="7"/>
  <c r="T37" i="6" l="1"/>
  <c r="U36" i="6"/>
  <c r="N24" i="7"/>
  <c r="W37" i="6"/>
  <c r="X36" i="6"/>
  <c r="O24" i="7"/>
  <c r="AR88" i="5"/>
  <c r="Z37" i="6"/>
  <c r="AA36" i="6"/>
  <c r="P24" i="7"/>
  <c r="W38" i="6" l="1"/>
  <c r="X37" i="6"/>
  <c r="O25" i="7"/>
  <c r="AR89" i="5"/>
  <c r="Z38" i="6"/>
  <c r="AA37" i="6"/>
  <c r="P25" i="7"/>
  <c r="T38" i="6"/>
  <c r="U37" i="6"/>
  <c r="N25" i="7"/>
  <c r="AA38" i="6" l="1"/>
  <c r="Z39" i="6"/>
  <c r="P26" i="7"/>
  <c r="T39" i="6"/>
  <c r="U38" i="6"/>
  <c r="N26" i="7"/>
  <c r="AR90" i="5"/>
  <c r="X38" i="6"/>
  <c r="W39" i="6"/>
  <c r="O26" i="7"/>
  <c r="AR91" i="5" l="1"/>
  <c r="T40" i="6"/>
  <c r="U39" i="6"/>
  <c r="N27" i="7"/>
  <c r="X39" i="6"/>
  <c r="W40" i="6"/>
  <c r="O27" i="7"/>
  <c r="AA39" i="6"/>
  <c r="Z40" i="6"/>
  <c r="P27" i="7"/>
  <c r="X40" i="6" l="1"/>
  <c r="O28" i="7"/>
  <c r="W42" i="6"/>
  <c r="AR92" i="5"/>
  <c r="U40" i="6"/>
  <c r="N28" i="7"/>
  <c r="T42" i="6"/>
  <c r="AA40" i="6"/>
  <c r="Z42" i="6"/>
  <c r="P28" i="7"/>
  <c r="D51" i="6" l="1"/>
  <c r="U42" i="6"/>
  <c r="H51" i="6"/>
  <c r="AA42" i="6"/>
  <c r="AR93" i="5"/>
  <c r="AR94" i="5" s="1"/>
  <c r="AR95" i="5" s="1"/>
  <c r="X42" i="6"/>
  <c r="F51" i="6"/>
  <c r="F53" i="6" l="1"/>
  <c r="H53" i="6"/>
  <c r="D53" i="6"/>
</calcChain>
</file>

<file path=xl/comments1.xml><?xml version="1.0" encoding="utf-8"?>
<comments xmlns="http://schemas.openxmlformats.org/spreadsheetml/2006/main">
  <authors>
    <author>Tamara Walder, Energie Tirol</author>
  </authors>
  <commentList>
    <comment ref="D60" authorId="0">
      <text>
        <r>
          <rPr>
            <b/>
            <sz val="9"/>
            <color indexed="81"/>
            <rFont val="Segoe UI"/>
            <family val="2"/>
          </rPr>
          <t>Energie Tirol:</t>
        </r>
        <r>
          <rPr>
            <sz val="9"/>
            <color indexed="81"/>
            <rFont val="Segoe UI"/>
            <family val="2"/>
          </rPr>
          <t xml:space="preserve">
Geben Sie entweder den Nettoertrag der Solaranlage in kWh/a (Ergebnis aus der Energieausweis-Berechnung) oder die geplante Größe der Solaranlage in m² an. </t>
        </r>
      </text>
    </comment>
  </commentList>
</comments>
</file>

<file path=xl/comments2.xml><?xml version="1.0" encoding="utf-8"?>
<comments xmlns="http://schemas.openxmlformats.org/spreadsheetml/2006/main">
  <authors>
    <author>Dummy</author>
  </authors>
  <commentList>
    <comment ref="F21" authorId="0">
      <text>
        <r>
          <rPr>
            <b/>
            <sz val="9"/>
            <color indexed="81"/>
            <rFont val="Tahoma"/>
            <family val="2"/>
          </rPr>
          <t>Nutzungsdauer</t>
        </r>
        <r>
          <rPr>
            <sz val="9"/>
            <color indexed="81"/>
            <rFont val="Tahoma"/>
            <family val="2"/>
          </rPr>
          <t xml:space="preserve">
</t>
        </r>
      </text>
    </comment>
    <comment ref="G21" authorId="0">
      <text>
        <r>
          <rPr>
            <b/>
            <sz val="9"/>
            <color indexed="81"/>
            <rFont val="Tahoma"/>
            <family val="2"/>
          </rPr>
          <t>Preissteigerungsrate</t>
        </r>
        <r>
          <rPr>
            <sz val="9"/>
            <color indexed="81"/>
            <rFont val="Tahoma"/>
            <family val="2"/>
          </rPr>
          <t xml:space="preserve">
</t>
        </r>
      </text>
    </comment>
    <comment ref="J21" authorId="0">
      <text>
        <r>
          <rPr>
            <b/>
            <sz val="9"/>
            <color indexed="81"/>
            <rFont val="Tahoma"/>
            <family val="2"/>
          </rPr>
          <t>Nutzungsdauer</t>
        </r>
        <r>
          <rPr>
            <sz val="9"/>
            <color indexed="81"/>
            <rFont val="Tahoma"/>
            <family val="2"/>
          </rPr>
          <t xml:space="preserve">
</t>
        </r>
      </text>
    </comment>
    <comment ref="K21" authorId="0">
      <text>
        <r>
          <rPr>
            <b/>
            <sz val="9"/>
            <color indexed="81"/>
            <rFont val="Tahoma"/>
            <family val="2"/>
          </rPr>
          <t>Preissteigerungsrate</t>
        </r>
        <r>
          <rPr>
            <sz val="9"/>
            <color indexed="81"/>
            <rFont val="Tahoma"/>
            <family val="2"/>
          </rPr>
          <t xml:space="preserve">
</t>
        </r>
      </text>
    </comment>
    <comment ref="N21" authorId="0">
      <text>
        <r>
          <rPr>
            <b/>
            <sz val="9"/>
            <color indexed="81"/>
            <rFont val="Tahoma"/>
            <family val="2"/>
          </rPr>
          <t>Nutzungsdauer</t>
        </r>
      </text>
    </comment>
    <comment ref="O21" authorId="0">
      <text>
        <r>
          <rPr>
            <b/>
            <sz val="9"/>
            <color indexed="81"/>
            <rFont val="Tahoma"/>
            <family val="2"/>
          </rPr>
          <t>Preissteigerungsrate</t>
        </r>
        <r>
          <rPr>
            <sz val="9"/>
            <color indexed="81"/>
            <rFont val="Tahoma"/>
            <family val="2"/>
          </rPr>
          <t xml:space="preserve">
</t>
        </r>
      </text>
    </comment>
    <comment ref="F47" authorId="0">
      <text>
        <r>
          <rPr>
            <b/>
            <sz val="9"/>
            <color indexed="81"/>
            <rFont val="Tahoma"/>
            <family val="2"/>
          </rPr>
          <t>Preissteigerungsrate</t>
        </r>
        <r>
          <rPr>
            <sz val="9"/>
            <color indexed="81"/>
            <rFont val="Tahoma"/>
            <family val="2"/>
          </rPr>
          <t xml:space="preserve">
</t>
        </r>
      </text>
    </comment>
    <comment ref="J47" authorId="0">
      <text>
        <r>
          <rPr>
            <b/>
            <sz val="9"/>
            <color indexed="81"/>
            <rFont val="Tahoma"/>
            <family val="2"/>
          </rPr>
          <t>Preissteigerungsrate</t>
        </r>
        <r>
          <rPr>
            <sz val="9"/>
            <color indexed="81"/>
            <rFont val="Tahoma"/>
            <family val="2"/>
          </rPr>
          <t xml:space="preserve">
</t>
        </r>
      </text>
    </comment>
    <comment ref="N47" authorId="0">
      <text>
        <r>
          <rPr>
            <b/>
            <sz val="9"/>
            <color indexed="81"/>
            <rFont val="Tahoma"/>
            <family val="2"/>
          </rPr>
          <t>Preissteigerungsrate</t>
        </r>
        <r>
          <rPr>
            <sz val="9"/>
            <color indexed="81"/>
            <rFont val="Tahoma"/>
            <family val="2"/>
          </rPr>
          <t xml:space="preserve">
</t>
        </r>
      </text>
    </comment>
    <comment ref="F61" authorId="0">
      <text>
        <r>
          <rPr>
            <b/>
            <sz val="9"/>
            <color indexed="81"/>
            <rFont val="Tahoma"/>
            <family val="2"/>
          </rPr>
          <t>Preissteigerungsrate</t>
        </r>
        <r>
          <rPr>
            <sz val="9"/>
            <color indexed="81"/>
            <rFont val="Tahoma"/>
            <family val="2"/>
          </rPr>
          <t xml:space="preserve">
</t>
        </r>
      </text>
    </comment>
    <comment ref="J61" authorId="0">
      <text>
        <r>
          <rPr>
            <b/>
            <sz val="9"/>
            <color indexed="81"/>
            <rFont val="Tahoma"/>
            <family val="2"/>
          </rPr>
          <t>Preissteigerungsrate</t>
        </r>
        <r>
          <rPr>
            <sz val="9"/>
            <color indexed="81"/>
            <rFont val="Tahoma"/>
            <family val="2"/>
          </rPr>
          <t xml:space="preserve">
</t>
        </r>
      </text>
    </comment>
    <comment ref="N61" authorId="0">
      <text>
        <r>
          <rPr>
            <b/>
            <sz val="9"/>
            <color indexed="81"/>
            <rFont val="Tahoma"/>
            <family val="2"/>
          </rPr>
          <t>Preissteigerungsrate</t>
        </r>
        <r>
          <rPr>
            <sz val="9"/>
            <color indexed="81"/>
            <rFont val="Tahoma"/>
            <family val="2"/>
          </rPr>
          <t xml:space="preserve">
</t>
        </r>
      </text>
    </comment>
  </commentList>
</comments>
</file>

<file path=xl/sharedStrings.xml><?xml version="1.0" encoding="utf-8"?>
<sst xmlns="http://schemas.openxmlformats.org/spreadsheetml/2006/main" count="924" uniqueCount="497">
  <si>
    <r>
      <t>VERWENDUNGSZWECK des BAUVORHABENS:</t>
    </r>
    <r>
      <rPr>
        <sz val="11"/>
        <rFont val="Arial"/>
        <family val="2"/>
      </rPr>
      <t xml:space="preserve"> </t>
    </r>
    <r>
      <rPr>
        <sz val="8"/>
        <rFont val="Arial"/>
        <family val="2"/>
      </rPr>
      <t>(Mehrfachangaben möglich!)</t>
    </r>
  </si>
  <si>
    <t>An den Bürgermeister der Gemeinde</t>
  </si>
  <si>
    <r>
      <t xml:space="preserve">ART des BAUVORHABENS </t>
    </r>
    <r>
      <rPr>
        <sz val="9"/>
        <rFont val="Arial"/>
        <family val="2"/>
      </rPr>
      <t>(Mehrfachangaben möglich)</t>
    </r>
    <r>
      <rPr>
        <b/>
        <sz val="11"/>
        <rFont val="Arial"/>
        <family val="2"/>
      </rPr>
      <t>:</t>
    </r>
  </si>
  <si>
    <t>Sonnenstunden am 21. April am Standort des Gebäudes</t>
  </si>
  <si>
    <t>0 Stunden</t>
  </si>
  <si>
    <t>1 Stunde</t>
  </si>
  <si>
    <t>2 Stunden</t>
  </si>
  <si>
    <t>3 Stunden</t>
  </si>
  <si>
    <t>4 Stunden</t>
  </si>
  <si>
    <t>5 Stunden</t>
  </si>
  <si>
    <t>6 Stunden</t>
  </si>
  <si>
    <t>7 Stunden</t>
  </si>
  <si>
    <t>8 Stunden</t>
  </si>
  <si>
    <t>9 Stunden</t>
  </si>
  <si>
    <t>10 Stunden</t>
  </si>
  <si>
    <t>11 Stunden</t>
  </si>
  <si>
    <t>12 Stunden</t>
  </si>
  <si>
    <t>13 Stunden</t>
  </si>
  <si>
    <t>14 Stunden</t>
  </si>
  <si>
    <t>Sonnenstunden:</t>
  </si>
  <si>
    <t>Ja</t>
  </si>
  <si>
    <t>Nein</t>
  </si>
  <si>
    <t>Fläche:</t>
  </si>
  <si>
    <t>Warmwasserbedarf vorhanden</t>
  </si>
  <si>
    <t>WW-Bedarf:</t>
  </si>
  <si>
    <t>Denkmalschutz:</t>
  </si>
  <si>
    <t>mögliche Fläche für die Montage von Solarpanelen vorhanden</t>
  </si>
  <si>
    <t>Jahresarbeitszahl:</t>
  </si>
  <si>
    <t>Konventionelle:</t>
  </si>
  <si>
    <t>Solaranlage:</t>
  </si>
  <si>
    <t>Biomasse</t>
  </si>
  <si>
    <t>Pellets:</t>
  </si>
  <si>
    <t>Hackgut:</t>
  </si>
  <si>
    <t>ausreichender Lagerraum für Biomasse vorhanden</t>
  </si>
  <si>
    <t>bitte auswählen</t>
  </si>
  <si>
    <t>Solaranlage</t>
  </si>
  <si>
    <t xml:space="preserve">Der Einbau einer Solaranlage ist </t>
  </si>
  <si>
    <t>Lagerraum</t>
  </si>
  <si>
    <t xml:space="preserve">Nein </t>
  </si>
  <si>
    <t>Liefermöglichkeit</t>
  </si>
  <si>
    <t>Luftsanierung</t>
  </si>
  <si>
    <t>Der Einsatz einer Biomasseheizung ist</t>
  </si>
  <si>
    <t>Liefermöglichkeit für Biomasse gegeben</t>
  </si>
  <si>
    <t>Versorgungsgebiet</t>
  </si>
  <si>
    <t>Energieträger</t>
  </si>
  <si>
    <t>Erdgas</t>
  </si>
  <si>
    <t>Erdöl</t>
  </si>
  <si>
    <t>Prozesswärme</t>
  </si>
  <si>
    <t>Kapazität:</t>
  </si>
  <si>
    <t>Das Gebäude liegt im Versorgungsgebiet einer Nah- oder Fernwärmeanlage</t>
  </si>
  <si>
    <t>Nah- oder Fernwärme</t>
  </si>
  <si>
    <t>Die Energie der Nah- / Fernwärmeanlage wird produziert aus</t>
  </si>
  <si>
    <t>Der Anschluss an das Nah- oder Fernwärmenetz ist technisch möglich</t>
  </si>
  <si>
    <t>Der Anschluss an ein Nah- oder Fernwärmenetz ist</t>
  </si>
  <si>
    <t>Wärmepumpe</t>
  </si>
  <si>
    <t>5.1</t>
  </si>
  <si>
    <t>Heizwärmebedarf:</t>
  </si>
  <si>
    <t>5.0</t>
  </si>
  <si>
    <t>allgemeine Angaben</t>
  </si>
  <si>
    <t xml:space="preserve"> max. Vorlauftemperatur: </t>
  </si>
  <si>
    <t>Wärmeverteilsystem im Gebäude</t>
  </si>
  <si>
    <t>Wärmeverteilung:0</t>
  </si>
  <si>
    <t>Hochtemperatursystem</t>
  </si>
  <si>
    <t>Niedertemperatursystem</t>
  </si>
  <si>
    <t>Wärmequelle:</t>
  </si>
  <si>
    <t>Luft</t>
  </si>
  <si>
    <t>Erdreich</t>
  </si>
  <si>
    <t>Grundwasser</t>
  </si>
  <si>
    <t>HWB</t>
  </si>
  <si>
    <t>Erdreich-Wärmepumpe</t>
  </si>
  <si>
    <t>Grundwasser-Wärmepumpe</t>
  </si>
  <si>
    <t>5.2</t>
  </si>
  <si>
    <t xml:space="preserve">Der Einsatz einer Wärmepumpe ist </t>
  </si>
  <si>
    <t xml:space="preserve">Der Einsatz einer Erdreich-Wärmepumpe ist </t>
  </si>
  <si>
    <t xml:space="preserve">Der Einsatz einer Grundwasser-Wärmepumpe ist </t>
  </si>
  <si>
    <t>Art:</t>
  </si>
  <si>
    <t>Biomasse:</t>
  </si>
  <si>
    <t>WP:</t>
  </si>
  <si>
    <t>PV:</t>
  </si>
  <si>
    <t>FW:</t>
  </si>
  <si>
    <t>ALTERNATIVENPRÜFUNG - VEREINFACHTES VERFAHREN</t>
  </si>
  <si>
    <t>ALTERNATIVENPRÜFUNG</t>
  </si>
  <si>
    <t>l</t>
  </si>
  <si>
    <t>ll</t>
  </si>
  <si>
    <t>Rechtliche Grundlage für die Alternativenprüfung:</t>
  </si>
  <si>
    <t>Das vereinfachte Verfahren der Alternativenprüfung kann für Haustechnik-Systeme in Betracht gezogen werden, deren Endenergiebedarf zumindest teilweise über alternative Energiesysteme abgedeckt wird 
(Beispiel: Gas-Brennwert-Anlage in Kombination mit einer thermischen Solaranlage).</t>
  </si>
  <si>
    <t>KWK:</t>
  </si>
  <si>
    <t>Brutto-Grundfläche:</t>
  </si>
  <si>
    <t xml:space="preserve">Diese Systeme sind, sofern sie die Mindestanforderungen an die Gesamtenergieeffizienz 2020 laut Tabelle des Nationalen Plans erfüllen, den in der Tiroler Bauordnung festgelegten alternativen Systemen gleichzustellen und bedüfen keiner weiteren Prüfung.  </t>
  </si>
  <si>
    <t>Primärenergiebedarf:</t>
  </si>
  <si>
    <r>
      <t>CO</t>
    </r>
    <r>
      <rPr>
        <vertAlign val="subscript"/>
        <sz val="11"/>
        <rFont val="Arial"/>
        <family val="2"/>
      </rPr>
      <t>2</t>
    </r>
    <r>
      <rPr>
        <sz val="11"/>
        <rFont val="Arial"/>
        <family val="2"/>
      </rPr>
      <t>-Emissionen:</t>
    </r>
  </si>
  <si>
    <t>Gesamtenergieeffizienz-Faktor:</t>
  </si>
  <si>
    <t>Anforderung</t>
  </si>
  <si>
    <t>IST-Wert</t>
  </si>
  <si>
    <t>PEB</t>
  </si>
  <si>
    <r>
      <t>CO</t>
    </r>
    <r>
      <rPr>
        <vertAlign val="subscript"/>
        <sz val="11"/>
        <color theme="0"/>
        <rFont val="Arial"/>
        <family val="2"/>
      </rPr>
      <t>2</t>
    </r>
  </si>
  <si>
    <t>Gründe Grundwasser-WP:</t>
  </si>
  <si>
    <t>Wärmepumpe ist nicht genehmigungsfähig</t>
  </si>
  <si>
    <t>Grundstück liegt im Wasserschutzgebiet</t>
  </si>
  <si>
    <t>kein / zu wenig nutzbares Grundwasser vorhanden</t>
  </si>
  <si>
    <t>Dichte von Grundwasser-Wärmepumpen zu hoch</t>
  </si>
  <si>
    <t>Abkühlung Grundwasser zu stark</t>
  </si>
  <si>
    <t>sonstiger Grund</t>
  </si>
  <si>
    <r>
      <t>Bewilligungsrechtliche Einsprüche:</t>
    </r>
    <r>
      <rPr>
        <i/>
        <sz val="8"/>
        <rFont val="Arial"/>
        <family val="2"/>
      </rPr>
      <t xml:space="preserve"> </t>
    </r>
  </si>
  <si>
    <t>Das geplante Gebäude erfüllt die Voraussetzungen für einen effizienten Betrieb einer Wärmepumpe nicht, von einer weiteren Prüfung kann Abstand genommen werden.</t>
  </si>
  <si>
    <t>kein Einspruch</t>
  </si>
  <si>
    <t>Gründe Erdreich-WP:</t>
  </si>
  <si>
    <t>Geologie / Lage nicht geeignet für Erdreichwärmepumpe</t>
  </si>
  <si>
    <t>Grundstück zu klein für Erdkollektoren</t>
  </si>
  <si>
    <t>Sofern keine bewilligungsrechtlichen Aspekte gegen den Einsatz einer Grundwasser-Wärmepumpe sprechen, ist für ein wählbares Wärmepumpensystem (Grundwasser- oder Erdreichwärmepumpe) eine wirtschaftliche Vergleichsrechnung anzustellen.</t>
  </si>
  <si>
    <t>(Referenzklima, spezifisch)</t>
  </si>
  <si>
    <t>5.3</t>
  </si>
  <si>
    <t>Luft-Wärmepumpe</t>
  </si>
  <si>
    <t xml:space="preserve">Das geplante Gebäude erfüllt prinzipiell die Voraussetzungen, unter denen eine Luft-Wärmepumpe effizient arbeitet. </t>
  </si>
  <si>
    <t xml:space="preserve">Das geplante Gebäude erfüllt prinzipiell die Voraussetzungen, unter denen eine Erdreich-Wärmepumpe effizient arbeitet. </t>
  </si>
  <si>
    <t xml:space="preserve">Das geplante Gebäude erfüllt prinzipiell die Voraussetzungen, unter denen eine Grundwasser-Wärmepumpe effizient arbeitet. </t>
  </si>
  <si>
    <t>HWB:</t>
  </si>
  <si>
    <t>Von einer weiteren Prüfung kann Abstand genommen werden.</t>
  </si>
  <si>
    <t xml:space="preserve"> Eine Luft-Wärmepumpe gilt als innovatives klimarelevantes System, wenn der Heizwärmebedarf des Gebäudes unter 25 kWh/m²a (max. 300 m² Nutzfläche) liegt. </t>
  </si>
  <si>
    <t xml:space="preserve">Der Einsatz einer Luft-Wärmepumpe ist </t>
  </si>
  <si>
    <t>Gründe Luft-WP:</t>
  </si>
  <si>
    <t>Lärmrichtwerte können nicht eingehalten werden</t>
  </si>
  <si>
    <t>Das geplante Gebäude erfüllt die Voraussetzungen für einen effizienten Betrieb einer Wärmepumpe NICHT!</t>
  </si>
  <si>
    <t>Sofern keine bewilligungsrechtlichen Aspekte gegen den Einsatz einer Erdreich-Wärmepumpe sprechen, ist für ein wählbares Wärmepumpensystem (Grundwasser- oder Erdreichwärmepumpe) eine wirtschaftliche Vergleichsrechnung anzustellen.</t>
  </si>
  <si>
    <t>Sofern keine bewilligungsrechtlichen Aspekte gegen den Einsatz einer Luft-Wärmepumpe sprechen, ist eine wirtschaftliche Vergleichsrechnung anzustellen.</t>
  </si>
  <si>
    <t>Information: notwendige Mindestgröße des Lagerraums für den Jahresbedarf von:</t>
  </si>
  <si>
    <t>Solar möglich?</t>
  </si>
  <si>
    <t>Biomasse möglich?</t>
  </si>
  <si>
    <t>Fernwärme möglich?</t>
  </si>
  <si>
    <t>Wärmepumpe möglich?</t>
  </si>
  <si>
    <t>GW-WP möglich?</t>
  </si>
  <si>
    <t>ER-WP möglich?</t>
  </si>
  <si>
    <t>Luft-WP möglich?</t>
  </si>
  <si>
    <t>Zusammenfassung</t>
  </si>
  <si>
    <t>6</t>
  </si>
  <si>
    <t>Folgende Systeme sind aus technischen und ökologischen Gesichtspunkten möglich:</t>
  </si>
  <si>
    <t xml:space="preserve">Rechtliche Grundlage für die Alternativenprüfung: </t>
  </si>
  <si>
    <t>In diesem Fall ist keine Alternativenprüfung notwendig bzw. kein weiterer Nachweis zu erbringen.</t>
  </si>
  <si>
    <t>Ablauf Alternativenprüfung:</t>
  </si>
  <si>
    <r>
      <rPr>
        <b/>
        <sz val="10"/>
        <rFont val="Arial"/>
        <family val="2"/>
      </rPr>
      <t>§2, Absatz 26:</t>
    </r>
    <r>
      <rPr>
        <sz val="10"/>
        <rFont val="Arial"/>
        <family val="2"/>
      </rPr>
      <t xml:space="preserve">
Hocheffiziente alternative Systeme sind insbesondere:
 a) dezentrale Energieversorgungssysteme auf der Grundlage von erneuerbaren Quellen
 b) Kraft-Wärme-Kopplungsanlagen
 c) Fern- oder Nahwärmesysteme (ganz oder teilweise aus erneuerbaren Quellen)
 d) Wärmepumpen mit einer Jahresarbeitszahl von mindestens 3,0</t>
    </r>
  </si>
  <si>
    <r>
      <rPr>
        <b/>
        <sz val="10"/>
        <rFont val="Arial"/>
        <family val="2"/>
      </rPr>
      <t>§27, Absatz 4, lit. C:</t>
    </r>
    <r>
      <rPr>
        <sz val="10"/>
        <rFont val="Arial"/>
        <family val="2"/>
      </rPr>
      <t xml:space="preserve">
Das Bauansuchen ist abzuweisen, wenn den Erfordernissen der Gesamtenergieeffizienz und der Energieeinsparung mit einem hocheffizienten alternativen System mit einem im Verhältnis zum erzielbaren Erfolg vertretbaren Aufwand wesentlich besser entsprochen werden könnte.</t>
    </r>
  </si>
  <si>
    <t>Der Bauwerber entscheidet sich für ein System auf Basis von nicht erneuerbaren Energieträgern oder erreicht die Grenzwerte nach Ansatz 2 nicht.</t>
  </si>
  <si>
    <t>Der Nachweis erfolgt in drei Ansätzen:</t>
  </si>
  <si>
    <t>Ansatz 1:</t>
  </si>
  <si>
    <t>(überschlägiger Wert aus der Energieausweis-Berechnung)</t>
  </si>
  <si>
    <t>Endenergiebedarf:</t>
  </si>
  <si>
    <t>BGF:</t>
  </si>
  <si>
    <t>Anforderung Endenergiebedarf:</t>
  </si>
  <si>
    <t>(Referenzklima)</t>
  </si>
  <si>
    <t>(spezifisch)</t>
  </si>
  <si>
    <t>Kompaktheit (A/V):</t>
  </si>
  <si>
    <t xml:space="preserve">KENNGRÖSSEN aus dem Energieausweis: </t>
  </si>
  <si>
    <t>HWB - 10er-Linie:</t>
  </si>
  <si>
    <t>Variante 1</t>
  </si>
  <si>
    <t>Ist-Wert</t>
  </si>
  <si>
    <t>Vereinfachtes Verfahren anwendbar?</t>
  </si>
  <si>
    <t xml:space="preserve"> kWh/m²a</t>
  </si>
  <si>
    <t>Diagramm</t>
  </si>
  <si>
    <t xml:space="preserve">       Kohlendioxidemissionen:</t>
  </si>
  <si>
    <t>Ansatz 2 - Vereinfachtes Verfahren:</t>
  </si>
  <si>
    <t>Der Bauwerber entscheidet sich für ein bivalentes System, das heißt, er kombiniert zu einem nicht regenerativen Energieträger ein erneuerbares System. Der Endenergiebedarf wird zumindest teilweise über alternative Systeme abgedeckt.
(Beispiel: Gas-Brennwertanlage in Kombination mit einer thermischen Solaranlage)</t>
  </si>
  <si>
    <t>Können die Grenzwerte trotz Nachbesserungen nicht eingehalten werden, muss die Alternativenprüfung nach Ansatz 3 durchgeführt werden.</t>
  </si>
  <si>
    <t>Der Nachweis erfolgt über ein vereinfachtes Verfahren.</t>
  </si>
  <si>
    <t>Diese Systeme sind, sofern sie die Mindestanforderungen an die Gesamtenergieeffizienz 2020 laut Tabelle des Nationalen Plans erfüllen, den in der Tiroler Bauordnung festgelegten alternativen Systemen gleichzustellen.  
(Das Dokument "Nationaler Plan" ist auf der Homepage des OIB unter www.oib.or.at zu finden.)</t>
  </si>
  <si>
    <t>Durch ein Ausschluss-Verfahren ist nachzuweisen, dass hocheffiziente, alternative Systeme aus technischen oder ökologischen Gründen nicht einsetzbar oder wirtschaftlich nicht umsetzbar sind.</t>
  </si>
  <si>
    <t>Ansatz 3 - Alternativenprüfung:</t>
  </si>
  <si>
    <t>Felder bitte nie verschieben oder ausschneiden, sondern nur kopieren!</t>
  </si>
  <si>
    <t>bei der Eingabe bitte beachten:</t>
  </si>
  <si>
    <t>Warmwasserwärmebedarf:</t>
  </si>
  <si>
    <t>Gesamtenergiebedarf im Gebäude (mit Warmwasser):</t>
  </si>
  <si>
    <t>INVESTITIONSKOSTEN</t>
  </si>
  <si>
    <t>GEBÄUDEDATEN aus dem Energieausweis</t>
  </si>
  <si>
    <t>Investitionskosten Heizanlage</t>
  </si>
  <si>
    <t>Heizsystem A</t>
  </si>
  <si>
    <t>Heizsystem B</t>
  </si>
  <si>
    <t>Heizsystem C</t>
  </si>
  <si>
    <t>System A:</t>
  </si>
  <si>
    <t>Hackschnitzelheizung</t>
  </si>
  <si>
    <t>Stückholzkessel</t>
  </si>
  <si>
    <t>Kachelofen-Ganzhausheizung</t>
  </si>
  <si>
    <t>Biomasse-Fernwärmeanschluss</t>
  </si>
  <si>
    <t>Wärmepumpe Grundwasser</t>
  </si>
  <si>
    <t>Wärmepumpe Luft</t>
  </si>
  <si>
    <t>System B:</t>
  </si>
  <si>
    <t>System C:</t>
  </si>
  <si>
    <t>zusätzlich notwendige Kosten
(Kosten für Kamin, Sondenbohrungen, Gasanschluss, Lagerraum, …)</t>
  </si>
  <si>
    <t>Zusatzförderung von Gemeinden</t>
  </si>
  <si>
    <t>abzüglich Landesförderung</t>
  </si>
  <si>
    <t>BETRIEBSKOSTEN</t>
  </si>
  <si>
    <t>FINANZIERUNG</t>
  </si>
  <si>
    <t>Berechnung für die Grafik</t>
  </si>
  <si>
    <t>Jahr</t>
  </si>
  <si>
    <t>Kreditrückzahlung "Heizsystem A"</t>
  </si>
  <si>
    <t>Heizkosten "Heizsystem A"</t>
  </si>
  <si>
    <t xml:space="preserve"> Jährliche Gesamtkosten "Heizsystem A"</t>
  </si>
  <si>
    <t>Kreditrückzahlung "Heizsystem B"</t>
  </si>
  <si>
    <t>Heizkosten "Heizsystem B"</t>
  </si>
  <si>
    <t xml:space="preserve"> Gesamtkosten "Heizsystem B"</t>
  </si>
  <si>
    <t>Differenz der jährlichen Kredit-Rückzahlungsraten</t>
  </si>
  <si>
    <t>Differenz der Jährlichen Heizkosten</t>
  </si>
  <si>
    <t>Summe Gesamtkostendiffenz</t>
  </si>
  <si>
    <t>Kumulierte Ersparnis</t>
  </si>
  <si>
    <t>Kreditrückzahlung "Heizsystem C"</t>
  </si>
  <si>
    <t>Heizkosten "Heizsystem C"</t>
  </si>
  <si>
    <t xml:space="preserve"> Gesamtkosten "Heizsystem C"</t>
  </si>
  <si>
    <t>Kapitalbedarf</t>
  </si>
  <si>
    <t>Art der Finanzierung</t>
  </si>
  <si>
    <t>Zinssatz bei Fremdfinanzierung</t>
  </si>
  <si>
    <t>Rückzahlungszeitraum des Kredits (max. 20 Jahre)</t>
  </si>
  <si>
    <t>Finanzierung</t>
  </si>
  <si>
    <t>Cash</t>
  </si>
  <si>
    <t>Kredit</t>
  </si>
  <si>
    <t>Rückzahlung (Jahre)</t>
  </si>
  <si>
    <t>Summe</t>
  </si>
  <si>
    <t>Gesamtinvestitionskosten:</t>
  </si>
  <si>
    <t>Brennstoffpreis pro kWh</t>
  </si>
  <si>
    <t>Zinssatz</t>
  </si>
  <si>
    <r>
      <t xml:space="preserve">Service und Wartungskosten pro Jahr
</t>
    </r>
    <r>
      <rPr>
        <i/>
        <sz val="9"/>
        <rFont val="Arial"/>
        <family val="2"/>
      </rPr>
      <t>(z.B.: Kaminkehrer, Service, Reparaturen)</t>
    </r>
  </si>
  <si>
    <t>Wirkungsgrad der Heizanlage</t>
  </si>
  <si>
    <t>wirkungsgrad</t>
  </si>
  <si>
    <t>Wärmebedarf (Wirkungsgrad bereinigt)</t>
  </si>
  <si>
    <t>JÄHRLICHE ENERGIEPREISSTEIGERUNG</t>
  </si>
  <si>
    <t>jährliche Energiepreissteigerung</t>
  </si>
  <si>
    <t>ERGEBNISSE (bei 20-jähriger Betrachtung)</t>
  </si>
  <si>
    <t>Gesamtkosten (Vollkosten)</t>
  </si>
  <si>
    <t>Addierte Gesamtkosten</t>
  </si>
  <si>
    <t>Jahre</t>
  </si>
  <si>
    <t>Wird ein Grenzwert überschritten, kann durch gezielte Maßnahmen der Endenergiebedarf des Gebäudes gesenkt werden (zum Beispiel durch bessere Wärmedämmung, Einsatz einer Komfortlüftung, uvm.) In diesem Fall müssen die verbesserten Kennwerte aus dem Energieausweis wieder in die grün markierten Felder eingeragen werden.</t>
  </si>
  <si>
    <t>Name:</t>
  </si>
  <si>
    <t>Adresse:</t>
  </si>
  <si>
    <t>Nachweis über Kartendienst Tiris, Sonnenstunden ist beizulegen.</t>
  </si>
  <si>
    <t>Öl-Brennwertkessel</t>
  </si>
  <si>
    <t>Gas-Brennwerttherme</t>
  </si>
  <si>
    <t>Pelletsanlage</t>
  </si>
  <si>
    <t>Hackschnitzelanlage</t>
  </si>
  <si>
    <t>Wärmepumpe Erdreich</t>
  </si>
  <si>
    <r>
      <t>CO</t>
    </r>
    <r>
      <rPr>
        <i/>
        <vertAlign val="subscript"/>
        <sz val="9"/>
        <rFont val="Arial"/>
        <family val="2"/>
      </rPr>
      <t>2</t>
    </r>
  </si>
  <si>
    <r>
      <t>f</t>
    </r>
    <r>
      <rPr>
        <i/>
        <vertAlign val="subscript"/>
        <sz val="9"/>
        <rFont val="Arial"/>
        <family val="2"/>
      </rPr>
      <t>GEE</t>
    </r>
  </si>
  <si>
    <r>
      <t>Heizwärmebedarf</t>
    </r>
    <r>
      <rPr>
        <sz val="11"/>
        <rFont val="Arial"/>
        <family val="2"/>
      </rPr>
      <t>:</t>
    </r>
  </si>
  <si>
    <t>EEB Anforderung</t>
  </si>
  <si>
    <t>Kenngrößen aus dem Energieausweis</t>
  </si>
  <si>
    <t>Einsatz von hocheffizienten alternativen Systemen - 
Wirtschaftlichkeitsbetrachtung</t>
  </si>
  <si>
    <t>Einsatz von hocheffizienten alternativen Systemen - 
Wirtschaftlichkeitsbetrachtung - Diagramm</t>
  </si>
  <si>
    <t>Solaranlage entspricht Mindestgröße:</t>
  </si>
  <si>
    <t>Brennstoffkosten im 1. Jahr:</t>
  </si>
  <si>
    <t>Der Bauwerber entscheidet sich für ein alternatives hocheffizientes System nach TBO, §2, Absatz 26. Der Endenergiebedarf wird zu 100% durch alternatives Heizsystem abgedeckt.</t>
  </si>
  <si>
    <t xml:space="preserve">Nach der Tiroler Bauordnung, §24, Absatz 3 ist beim Neubau von Gebäuden die technische, ökologische und wirtschaftliche Realisierbarkeit von hocheffizienten alternativen Systemen darzulegen, soweit diese verfügbar sind. Dieses Tool soll eine Hilfestellung für die Alternativenprüfung bieten. </t>
  </si>
  <si>
    <t>BASISDATEN</t>
  </si>
  <si>
    <t>Für diese Systeme ist eine wirtschaftliche Vergleichsrechnung nach ÖNorm M 7140 anzustellen. Diese kann mit Hilfe des Kostenrechners vereinfacht durchgeführt werden. Alternativ ist auch eine adäquate Berechnung mit anderen Programmen zulässig.</t>
  </si>
  <si>
    <t>Durch ein Ausschluss-Verfahren ist nachzuweisen, dass hocheffiziente, alternative Systeme aus technischen oder ökologischen Gründen nicht einsetzbar oder wirtschaftlich nicht umsetzbar sind. Für alle Systeme, die technisch möglich sind, ist in weiterer Folge eine wirtschaftliche Vergleichsrechnung nach der ÖNorm M 7140 zu erstellen. Die nachfolgende Prüfung ist wahrheitsgemäß auszuführen und die geforderten Nachweise sind zu erbringen!</t>
  </si>
  <si>
    <r>
      <t>Gebäudeheizlast</t>
    </r>
    <r>
      <rPr>
        <sz val="11"/>
        <rFont val="Arial"/>
        <family val="2"/>
      </rPr>
      <t>:</t>
    </r>
  </si>
  <si>
    <t>Wirtschaftlichstes System</t>
  </si>
  <si>
    <t>HWB - 16er-Linie:</t>
  </si>
  <si>
    <t>Einsatz von hocheffizienten alternativen Systemen -
Alternativenprüfung für Wohngebäude</t>
  </si>
  <si>
    <t>*Quelle: Kostenrechner des Energieinstitut Vorarlberg</t>
  </si>
  <si>
    <r>
      <t>ART des HAUPTHEIZUNGSSYSTEMS:</t>
    </r>
    <r>
      <rPr>
        <sz val="11"/>
        <rFont val="Arial"/>
        <family val="2"/>
      </rPr>
      <t xml:space="preserve"> </t>
    </r>
    <r>
      <rPr>
        <sz val="8"/>
        <rFont val="Arial"/>
        <family val="2"/>
      </rPr>
      <t>(Mehrfachangaben möglich!)</t>
    </r>
  </si>
  <si>
    <t>geplante Größe Solaranlage:</t>
  </si>
  <si>
    <t>WP Altern.prüfung:</t>
  </si>
  <si>
    <t>ZUSÄTZLICHE Energiegewinne auf Basis erneuerbarer Energiequellen</t>
  </si>
  <si>
    <r>
      <rPr>
        <b/>
        <sz val="10"/>
        <rFont val="Arial"/>
        <family val="2"/>
      </rPr>
      <t xml:space="preserve">Tiroler Bauordnung 2011
§24, Absatz 3: </t>
    </r>
    <r>
      <rPr>
        <sz val="10"/>
        <rFont val="Arial"/>
        <family val="2"/>
      </rPr>
      <t xml:space="preserve">
Beim Neubau von Gebäuden ist in den Planunterlagen die technische, ökologische und wirtschaftliche Realisierbarkeit des Einsatzes von hocheffizienten alternativen Systemen darzulegen, soweit solche verfügbar sind.</t>
    </r>
  </si>
  <si>
    <t>Höhe Lagerraum:</t>
  </si>
  <si>
    <t>Das Gebäude steht in einer Ortsbildschutz-Zone</t>
  </si>
  <si>
    <t>Das Gebäude liegt im belasteten Gebiet (Luft)</t>
  </si>
  <si>
    <t>Zweileitersystem</t>
  </si>
  <si>
    <t>Wie möchten Sie weiter vorgehen?</t>
  </si>
  <si>
    <t>Weitere Vorgehensweise:</t>
  </si>
  <si>
    <t>Weitere Vorgehensweise</t>
  </si>
  <si>
    <t>Es müssen die benötigten Kennwerte aus dem Energieausweis in die grün markierten Felder (im Tabellenblatt Basisdaten) eingegeben werden.</t>
  </si>
  <si>
    <t xml:space="preserve">Geben Sie die geplanten Maßnahmen im Energieausweis-Programm ein. </t>
  </si>
  <si>
    <t xml:space="preserve">Wird ein Anforderungswert überschritten, kann durch gezielte Maßnahmen im Bereich der Bau- und Haustechnik der Energiebedarf des Gebäudes gesenkt werden. </t>
  </si>
  <si>
    <t xml:space="preserve">Tragen Sie die neuen Kennwerte aus dem Energieausweis in die grün markierten Felder im Tabellenblatt Basisdaten ein (Überschreiben der alten Werte).  </t>
  </si>
  <si>
    <t>Das Gebäude erfüllt die Anforderungen für Wohngebäude des Nationalen Plans 2020 und kann somit einem Gebäude mit einem hocheffizienten, alternativen System gleichgestellt werden.</t>
  </si>
  <si>
    <t>Legen Sie den Ausdruck der Alternativenprüfung (Tabellenblatt "Basisdaten" und "Vereinfachtes Verfahren") den Unterlagen für die Baueinreichung bei.</t>
  </si>
  <si>
    <t>Soll oder kann an der Gebäudequalität nichts verändert werden, muss das Gebäude der Alternativenprüfung nach dem Ansatz 3 unterzogen werden. Wechseln Sie zum Tabellenblatt Alternativenprüfung.</t>
  </si>
  <si>
    <t>Durch ein Ausschluss-Verfahren ist nachzuweisen, dass hocheffiziente, alternative Systeme aus technischen oder ökologischen Gründen nicht einsetzbar oder wirtschaftlich nicht umsetzbar sind. 
Für alle Systeme, die technisch möglich sind, ist in weiterer Folge eine wirtschaftliche Vergleichsrechnung nach der ÖNorm M 7140 zu erstellen. Die nachfolgende Prüfung ist wahrheitsgemäß auszuführen und die geforderten Nachweise sind zu erbringen!</t>
  </si>
  <si>
    <t>Alternativ ist auch eine adäquate Berechnung mit anderen Programmen zulässig.</t>
  </si>
  <si>
    <t>Bauwerber</t>
  </si>
  <si>
    <t>Einsatz von hocheffizienten alternativen Systemen -
Wirtschaftlichkeitsberechnung nach ÖNORM M7140</t>
  </si>
  <si>
    <t>Anmerkungen:</t>
  </si>
  <si>
    <t>Warmwasserbereitung kombiniert - unterschiedlich für die 3 Systeme?</t>
  </si>
  <si>
    <t>Therm. Solaranlage - unterschiedlich für die 3 Systeme, Größte etc.?</t>
  </si>
  <si>
    <t>Therm. Solaranlage - Bei Kosten! (Kapital- und betriebsgebundene Kosten)</t>
  </si>
  <si>
    <t>Solar allgemein - Verteilung Jahr? Jahresbilanz unscharf!</t>
  </si>
  <si>
    <t>KAPITALGEBUNDENE KOSTEN</t>
  </si>
  <si>
    <t>Heizsystem</t>
  </si>
  <si>
    <t>Nebenrechnung</t>
  </si>
  <si>
    <t>Investitionskosten</t>
  </si>
  <si>
    <t>N</t>
  </si>
  <si>
    <t>a</t>
  </si>
  <si>
    <t>BAIj</t>
  </si>
  <si>
    <t>BEIj</t>
  </si>
  <si>
    <t>BRWj</t>
  </si>
  <si>
    <t>Heizanlage</t>
  </si>
  <si>
    <t>Bauliche Maßnahmen (z.B. Lagerraum, etc.)</t>
  </si>
  <si>
    <t>Förderbeiträge Direktzuschüsse (Summe)</t>
  </si>
  <si>
    <t>Barwert der Anfangsinvestition BAI</t>
  </si>
  <si>
    <t>Barwert der Ersatzinvestition BEI</t>
  </si>
  <si>
    <t>Auflistung von BAI, BEI, BRW - ev. weglassen?</t>
  </si>
  <si>
    <t>Barwert der Restwerte BRW</t>
  </si>
  <si>
    <t>N von therm. Solaranlage, etc. verlinken?</t>
  </si>
  <si>
    <t>Barwert kapitalgebundene Kosten BKK</t>
  </si>
  <si>
    <t>VERBRAUCHSGEBUNDENE KOSTEN*</t>
  </si>
  <si>
    <t>Jahreswirkungsgrad Heizanlage</t>
  </si>
  <si>
    <t>Betrag</t>
  </si>
  <si>
    <t>SFj</t>
  </si>
  <si>
    <t>Kosten Energieträger</t>
  </si>
  <si>
    <t>Zusätzliche Elektrische Energie</t>
  </si>
  <si>
    <t>Barwert verbrauchsgebundene Kosten BVK</t>
  </si>
  <si>
    <t>kann man den Anteil der Anlage an elektrischer Energie/Pumpen etc. abschätzen aufgrund Größe Kessel?</t>
  </si>
  <si>
    <t>* Vereinfachte Betrachtung der Energiepreise gem. ÖNORM M7140, 6.2.6.1</t>
  </si>
  <si>
    <t>BETRIEBSGEBUNDENE KOSTEN</t>
  </si>
  <si>
    <t>Instandhaltung Heizungsanlage</t>
  </si>
  <si>
    <t>Barwert betriebsgebundene Kosten BBK</t>
  </si>
  <si>
    <t>ERGEBNIS - GESAMTKOSTEN</t>
  </si>
  <si>
    <t>&gt;&gt;&gt;</t>
  </si>
  <si>
    <t>k</t>
  </si>
  <si>
    <t>ANNAHMEN</t>
  </si>
  <si>
    <t>Folgende Annahmen wurden bei der Berechnung getroffen:</t>
  </si>
  <si>
    <t>Alle Kosten brutto.</t>
  </si>
  <si>
    <t>q=</t>
  </si>
  <si>
    <t>a=</t>
  </si>
  <si>
    <t>n=</t>
  </si>
  <si>
    <t>N=</t>
  </si>
  <si>
    <t>Wirkungsgrad Wärmeverteilung</t>
  </si>
  <si>
    <t>Man könnte einige freie Eingaben + Nebenrechnungen weglassen, dh. alles etwas straffen und ev. mit anderem ergänzen</t>
  </si>
  <si>
    <t>Zur Verifizierung wurden div. Annahmen händisch nachgerechnet. Zudem wurde das Beispiel der ÖNORM eingegeben.</t>
  </si>
  <si>
    <t>Freie Eingaben sind nicht verknüpfbar</t>
  </si>
  <si>
    <t>Weitere Anmerkungen und Kommentare sowie Nebenrechnungen Spalte S bis AE (ausgeblendet)</t>
  </si>
  <si>
    <t>Daten für Tabelle weißer Text: AF61 bis AI113</t>
  </si>
  <si>
    <t>Werte in Basis überprüfen - entscheidender Hebel!</t>
  </si>
  <si>
    <t>Gaswärmepumpe?</t>
  </si>
  <si>
    <t>Wirkungsgrad variabel/frei wählbar</t>
  </si>
  <si>
    <t>Annuität?</t>
  </si>
  <si>
    <t>Jahresenergiebedarf in kWh/a</t>
  </si>
  <si>
    <t>ID</t>
  </si>
  <si>
    <t>Heizkostenanlage</t>
  </si>
  <si>
    <t>Nutzungsdauer N</t>
  </si>
  <si>
    <t>Instandhaltungsrate</t>
  </si>
  <si>
    <t>Wirkungsgrad</t>
  </si>
  <si>
    <t>Brennstoffkosten März 2014 [€/kWh]</t>
  </si>
  <si>
    <t>Brennstoffkosten März 2004 [€/kWh]</t>
  </si>
  <si>
    <t>jährliche Preissteigerungsrate</t>
  </si>
  <si>
    <t>Ziel</t>
  </si>
  <si>
    <t>Ölheizung</t>
  </si>
  <si>
    <t>Gasheizung</t>
  </si>
  <si>
    <t>Wärmepumpe Sole</t>
  </si>
  <si>
    <t>Stückholzheizung</t>
  </si>
  <si>
    <t>Flüssiggasanlage</t>
  </si>
  <si>
    <t>Fernwärmeanschluss</t>
  </si>
  <si>
    <t>Thermische Solaranlage</t>
  </si>
  <si>
    <t>Elektrospeicher</t>
  </si>
  <si>
    <t>Elektro-Durchlauferhitzer</t>
  </si>
  <si>
    <r>
      <t>Betrag BAI</t>
    </r>
    <r>
      <rPr>
        <vertAlign val="subscript"/>
        <sz val="10"/>
        <color theme="1"/>
        <rFont val="Arial"/>
        <family val="2"/>
      </rPr>
      <t>j</t>
    </r>
  </si>
  <si>
    <t>Barwert verbrauchsgeb. Kosten BVK</t>
  </si>
  <si>
    <r>
      <t>h</t>
    </r>
    <r>
      <rPr>
        <sz val="10"/>
        <color theme="1"/>
        <rFont val="Arial"/>
        <family val="2"/>
      </rPr>
      <t>=</t>
    </r>
  </si>
  <si>
    <t>Kalkulatorische Zinsen (q)</t>
  </si>
  <si>
    <t>Standard Preissteigerungsrate (a)</t>
  </si>
  <si>
    <t>Betrachtungszeitraum (n)</t>
  </si>
  <si>
    <t>Nutzungsdauer (N)</t>
  </si>
  <si>
    <t>kWh/m²a</t>
  </si>
  <si>
    <t xml:space="preserve">Für die unter Punkt 6 angeführten Systeme ist eine wirtschaftliche Vergleichsrechnung mit dem lt. Basisdaten gewählten System nach ÖNorm M 7140 anzustellen. Diese kann mit Hilfe der Wirtschaftlichkeitsberechnung durchgeführt werden. </t>
  </si>
  <si>
    <t>Sind alle Grenzwerte (Tabellenblatt "Vereinfachtes Verfahren") eingehalten, ist keine weitere Prüfung mehr notwendig.</t>
  </si>
  <si>
    <t>(Wirkungsgrad bereinigt)</t>
  </si>
  <si>
    <r>
      <t xml:space="preserve">Gesamtkosten (Vollkosten) 
</t>
    </r>
    <r>
      <rPr>
        <i/>
        <sz val="9"/>
        <color theme="1"/>
        <rFont val="Arial"/>
        <family val="2"/>
      </rPr>
      <t>(nach 20-jähriger Betrachtung)</t>
    </r>
  </si>
  <si>
    <t>Vollkosten pro Jahr</t>
  </si>
  <si>
    <t>Jährliche Vollkosten</t>
  </si>
  <si>
    <t>System 1</t>
  </si>
  <si>
    <t>System 2</t>
  </si>
  <si>
    <t>System 3</t>
  </si>
  <si>
    <t>Betriebskosten</t>
  </si>
  <si>
    <t>Verbrauchskosten</t>
  </si>
  <si>
    <t>Jahreswirkungsgrad</t>
  </si>
  <si>
    <t xml:space="preserve">Jahreswirkungsgrad - Freie Eingabe </t>
  </si>
  <si>
    <t xml:space="preserve">Freie Eingabe </t>
  </si>
  <si>
    <t>Freie Eingabe</t>
  </si>
  <si>
    <t>Für alle Systeme, die nach der Alternativenprüfung technisch möglich sind, ist in weiterer Folge eine betriebswirtschaftliche Vergleichsrechnung nach der ÖNorm M 7140 zu erstellen. Diese kann mit Hilfe der Wirtschaftlichkeitsberechnung durchgeführt werden. Alternativ ist auch eine Berechnung mit anderen Programmen (basierend auf der ÖNorm M 7140) möglich.</t>
  </si>
  <si>
    <t>Wirtschaftlichkeitsberechnung nach ÖNorm M 7140:</t>
  </si>
  <si>
    <t xml:space="preserve">Alle berechnungsrelevanten Angaben (Zinssätze, Preissteigerung, Instandhaltungskosten, u.a.) entsprechen normellen Vorgaben, können aber durch entsprechende Nachweise (Angebote, Prüfzeugnisse) über die Felder "Feie Eingabe" angepasst werden. In diesem Fall ist jedoch darauf zu achten, dass durch Klicken des Kontrollkästchens, die voreingestellten Werte ausgeblendet werden, um eine doppelte Berechnung zu vermeiden.  </t>
  </si>
  <si>
    <t>Daten können in die grün hinterlegten Felder eingegeben werden.</t>
  </si>
  <si>
    <t>Werte für Diagramm</t>
  </si>
  <si>
    <t>Basisdaten</t>
  </si>
  <si>
    <t>Hochtemperatursystem &gt; 35°C</t>
  </si>
  <si>
    <r>
      <t xml:space="preserve">Niedertemperatursystem </t>
    </r>
    <r>
      <rPr>
        <sz val="10"/>
        <rFont val="Calibri"/>
        <family val="2"/>
      </rPr>
      <t>≤</t>
    </r>
    <r>
      <rPr>
        <sz val="10"/>
        <rFont val="Arial"/>
        <family val="2"/>
      </rPr>
      <t xml:space="preserve"> 35°C</t>
    </r>
  </si>
  <si>
    <t>Optionen</t>
  </si>
  <si>
    <t>Brennstoffpreis €/kWh</t>
  </si>
  <si>
    <t>lll</t>
  </si>
  <si>
    <t>WIRTSCHAFTLICHKEITSBERECHNUNG</t>
  </si>
  <si>
    <t>Heizwärmebedarf HWB (Standort):</t>
  </si>
  <si>
    <t>durch die Nutzung erneuerbarer Energiequellen</t>
  </si>
  <si>
    <t>a)</t>
  </si>
  <si>
    <t>b)</t>
  </si>
  <si>
    <t>durch Erwirtschaftung am Standort oder in der Nähe</t>
  </si>
  <si>
    <t>Erneuerbarer Anteil:</t>
  </si>
  <si>
    <t>Solar:</t>
  </si>
  <si>
    <t>Anforderung:</t>
  </si>
  <si>
    <t>WRG:</t>
  </si>
  <si>
    <t>Effizienz fGEE:</t>
  </si>
  <si>
    <t>Ist Neubau:</t>
  </si>
  <si>
    <t>Solarertrag bei Angabe m²</t>
  </si>
  <si>
    <t>Anf.</t>
  </si>
  <si>
    <t>Ist</t>
  </si>
  <si>
    <t>Referenz-Heizwärmebedarf:</t>
  </si>
  <si>
    <r>
      <t>HWB</t>
    </r>
    <r>
      <rPr>
        <i/>
        <vertAlign val="subscript"/>
        <sz val="9"/>
        <rFont val="Arial"/>
        <family val="2"/>
      </rPr>
      <t>Ref,RK</t>
    </r>
  </si>
  <si>
    <t>erfüllt?</t>
  </si>
  <si>
    <t>Erneuerbare Energiequellen:</t>
  </si>
  <si>
    <t xml:space="preserve">Das Tool zur Alternativenprüfung basiert auf der Tiroler Bauordnung 2011 und in weiterer Folge auf den Vorgaben der OIB-Richtlinie 6, Ausgabe März 2015. </t>
  </si>
  <si>
    <t>CO2-Emissionen</t>
  </si>
  <si>
    <t>Jahresenergiebedarf</t>
  </si>
  <si>
    <t>HHSB</t>
  </si>
  <si>
    <t>Jahresenergiebed. incl. Strom</t>
  </si>
  <si>
    <t>Konversionsfaktor</t>
  </si>
  <si>
    <t>CO2-Konversiosfaktor</t>
  </si>
  <si>
    <t>g/kWh</t>
  </si>
  <si>
    <t>CO2-Emissionen o. Strom</t>
  </si>
  <si>
    <t>kWh/a</t>
  </si>
  <si>
    <t>g/a</t>
  </si>
  <si>
    <t>kg/a</t>
  </si>
  <si>
    <t>CO2-Emissionen m. Strom</t>
  </si>
  <si>
    <t>Kosten</t>
  </si>
  <si>
    <t>CO2</t>
  </si>
  <si>
    <t>Volkswirtschaftliche Kosten</t>
  </si>
  <si>
    <t>€/kWh</t>
  </si>
  <si>
    <t>€/kWh EEB</t>
  </si>
  <si>
    <t>Kosten CO2</t>
  </si>
  <si>
    <t>CO2 Emissionen Auto</t>
  </si>
  <si>
    <t>CO2 Emissionen Heizung</t>
  </si>
  <si>
    <t xml:space="preserve">entspr. gefahrene km /a </t>
  </si>
  <si>
    <t>kg/kma</t>
  </si>
  <si>
    <t>km/a</t>
  </si>
  <si>
    <t>Fahrkilometer bei Ölheizung</t>
  </si>
  <si>
    <t>Fahrkilometer bei Gasheizung</t>
  </si>
  <si>
    <t>Fahrkilometer bei Wärmepumpe Sole</t>
  </si>
  <si>
    <t>Fahrkilometer bei Wärmepumpe Grundwasser</t>
  </si>
  <si>
    <t>Fahrkilometer bei Wärmepumpe Luft</t>
  </si>
  <si>
    <t>Fahrkilometer bei Hackschnitzelheizung</t>
  </si>
  <si>
    <t>Fahrkilometer bei Stückholzheizung</t>
  </si>
  <si>
    <t>Fahrkilometer bei Pelletsanlage</t>
  </si>
  <si>
    <t>Fahrkilometer bei Flüssiggasanlage</t>
  </si>
  <si>
    <t>Fahrkilometer bei Fernwärmeanschluss</t>
  </si>
  <si>
    <t>Fahrkilometer bei Bauliche Maßnahmen (z.B. Lagerraum, etc.)</t>
  </si>
  <si>
    <t>Fahrkilometer bei Thermische Solaranlage</t>
  </si>
  <si>
    <t>Fahrkilometer bei Elektrospeicher</t>
  </si>
  <si>
    <t>Fahrkilometer bei Elektro-Durchlauferhitzer</t>
  </si>
  <si>
    <t>VERWENDUNGSZWECK des BAUVORHABENS:</t>
  </si>
  <si>
    <t xml:space="preserve">Der vorliegende Leitfaden "Alternativenprüfung" ist eine Serviceleistung von Energie Tirol und bietet einen praxisorientieren Ansatz zur Prüfung von hocheffizienten alternativen Systemen. 
Das Tool wurde für  Wohngebäude entwickelt. Soll die Alternativenprüfung für Nicht-Wohngebäude verwendet werden, bitte die Gebäudekategorie im Energieausweis in "Wohngebäude" ändern.  </t>
  </si>
  <si>
    <r>
      <t xml:space="preserve">Anforderungen an den erneuerbaren Anteil </t>
    </r>
    <r>
      <rPr>
        <sz val="8"/>
        <rFont val="Arial"/>
        <family val="2"/>
      </rPr>
      <t>(gem. Punkt 4.3, OIB-Richtlinie 6, Ausgabe 2015)</t>
    </r>
  </si>
  <si>
    <t>Fernwärme nicht erneuerb.</t>
  </si>
  <si>
    <r>
      <t>CO</t>
    </r>
    <r>
      <rPr>
        <vertAlign val="subscript"/>
        <sz val="10"/>
        <color theme="0"/>
        <rFont val="Arial"/>
        <family val="2"/>
      </rPr>
      <t>2</t>
    </r>
    <r>
      <rPr>
        <sz val="10"/>
        <color theme="0"/>
        <rFont val="Arial"/>
        <family val="2"/>
      </rPr>
      <t xml:space="preserve"> Ölheizung</t>
    </r>
  </si>
  <si>
    <r>
      <t>CO</t>
    </r>
    <r>
      <rPr>
        <vertAlign val="subscript"/>
        <sz val="10"/>
        <color theme="0"/>
        <rFont val="Arial"/>
        <family val="2"/>
      </rPr>
      <t>2</t>
    </r>
    <r>
      <rPr>
        <sz val="10"/>
        <color theme="0"/>
        <rFont val="Arial"/>
        <family val="2"/>
      </rPr>
      <t xml:space="preserve"> Gasheizung</t>
    </r>
  </si>
  <si>
    <r>
      <t>CO</t>
    </r>
    <r>
      <rPr>
        <vertAlign val="subscript"/>
        <sz val="10"/>
        <color theme="0"/>
        <rFont val="Arial"/>
        <family val="2"/>
      </rPr>
      <t>2</t>
    </r>
    <r>
      <rPr>
        <sz val="10"/>
        <color theme="0"/>
        <rFont val="Arial"/>
        <family val="2"/>
      </rPr>
      <t xml:space="preserve"> Wärmepumpe Sole</t>
    </r>
  </si>
  <si>
    <r>
      <t>CO</t>
    </r>
    <r>
      <rPr>
        <vertAlign val="subscript"/>
        <sz val="10"/>
        <color theme="0"/>
        <rFont val="Arial"/>
        <family val="2"/>
      </rPr>
      <t>2</t>
    </r>
    <r>
      <rPr>
        <sz val="10"/>
        <color theme="0"/>
        <rFont val="Arial"/>
        <family val="2"/>
      </rPr>
      <t xml:space="preserve"> Wärmepumpe Grundwasser</t>
    </r>
  </si>
  <si>
    <r>
      <t>CO</t>
    </r>
    <r>
      <rPr>
        <vertAlign val="subscript"/>
        <sz val="10"/>
        <color theme="0"/>
        <rFont val="Arial"/>
        <family val="2"/>
      </rPr>
      <t>2</t>
    </r>
    <r>
      <rPr>
        <sz val="10"/>
        <color theme="0"/>
        <rFont val="Arial"/>
        <family val="2"/>
      </rPr>
      <t xml:space="preserve"> Wärmepumpe Luft</t>
    </r>
  </si>
  <si>
    <r>
      <t>CO</t>
    </r>
    <r>
      <rPr>
        <vertAlign val="subscript"/>
        <sz val="10"/>
        <color theme="0"/>
        <rFont val="Arial"/>
        <family val="2"/>
      </rPr>
      <t>2</t>
    </r>
    <r>
      <rPr>
        <sz val="10"/>
        <color theme="0"/>
        <rFont val="Arial"/>
        <family val="2"/>
      </rPr>
      <t xml:space="preserve"> Hackschnitzelheizung</t>
    </r>
  </si>
  <si>
    <r>
      <t>CO</t>
    </r>
    <r>
      <rPr>
        <vertAlign val="subscript"/>
        <sz val="10"/>
        <color theme="0"/>
        <rFont val="Arial"/>
        <family val="2"/>
      </rPr>
      <t>2</t>
    </r>
    <r>
      <rPr>
        <sz val="10"/>
        <color theme="0"/>
        <rFont val="Arial"/>
        <family val="2"/>
      </rPr>
      <t xml:space="preserve"> Stückholzheizung</t>
    </r>
  </si>
  <si>
    <r>
      <t>CO</t>
    </r>
    <r>
      <rPr>
        <vertAlign val="subscript"/>
        <sz val="10"/>
        <color theme="0"/>
        <rFont val="Arial"/>
        <family val="2"/>
      </rPr>
      <t>2</t>
    </r>
    <r>
      <rPr>
        <sz val="10"/>
        <color theme="0"/>
        <rFont val="Arial"/>
        <family val="2"/>
      </rPr>
      <t xml:space="preserve"> Pelletsanlage</t>
    </r>
  </si>
  <si>
    <r>
      <t>CO</t>
    </r>
    <r>
      <rPr>
        <vertAlign val="subscript"/>
        <sz val="10"/>
        <color theme="0"/>
        <rFont val="Arial"/>
        <family val="2"/>
      </rPr>
      <t>2</t>
    </r>
    <r>
      <rPr>
        <sz val="10"/>
        <color theme="0"/>
        <rFont val="Arial"/>
        <family val="2"/>
      </rPr>
      <t xml:space="preserve"> Flüssiggasanlage</t>
    </r>
  </si>
  <si>
    <r>
      <t>CO</t>
    </r>
    <r>
      <rPr>
        <vertAlign val="subscript"/>
        <sz val="10"/>
        <color theme="0"/>
        <rFont val="Arial"/>
        <family val="2"/>
      </rPr>
      <t>2</t>
    </r>
    <r>
      <rPr>
        <sz val="10"/>
        <color theme="0"/>
        <rFont val="Arial"/>
        <family val="2"/>
      </rPr>
      <t xml:space="preserve"> Fernwärmeanschluss</t>
    </r>
  </si>
  <si>
    <r>
      <t>CO</t>
    </r>
    <r>
      <rPr>
        <vertAlign val="subscript"/>
        <sz val="10"/>
        <color theme="0"/>
        <rFont val="Arial"/>
        <family val="2"/>
      </rPr>
      <t>2</t>
    </r>
    <r>
      <rPr>
        <sz val="10"/>
        <color theme="0"/>
        <rFont val="Arial"/>
        <family val="2"/>
      </rPr>
      <t xml:space="preserve"> Fernwärme nicht erneuerb.</t>
    </r>
  </si>
  <si>
    <t>Fahrkilometer bei Fernwärme nicht erneuerb.</t>
  </si>
  <si>
    <t>(Referenzklima,spezifisch)</t>
  </si>
  <si>
    <t>(überschlägiger Wert für Raumheizung + Warmwasser aus der Energieausweis-Berechnung)</t>
  </si>
  <si>
    <t>Stromdirektheizung</t>
  </si>
  <si>
    <r>
      <t>CO</t>
    </r>
    <r>
      <rPr>
        <vertAlign val="subscript"/>
        <sz val="10"/>
        <color theme="0"/>
        <rFont val="Arial"/>
        <family val="2"/>
      </rPr>
      <t>2</t>
    </r>
    <r>
      <rPr>
        <sz val="10"/>
        <color theme="0"/>
        <rFont val="Arial"/>
        <family val="2"/>
      </rPr>
      <t xml:space="preserve"> Stromdirektheizung</t>
    </r>
  </si>
  <si>
    <t>Fahrkilometer bei Stromdirektheizung</t>
  </si>
  <si>
    <t>Version 3.2</t>
  </si>
  <si>
    <t xml:space="preserve">Diese Übersicht soll als Orientierung für die Kostenpositionen einzelner haustechnischer Anlagen dienen, um den Umfang der Anlage besser einschätzen zu können. </t>
  </si>
  <si>
    <t>Kostenzusammenstellung</t>
  </si>
  <si>
    <t>Kapitalgebundene Kosten</t>
  </si>
  <si>
    <t>Bauliche Maßnahmen</t>
  </si>
  <si>
    <t>Kessel</t>
  </si>
  <si>
    <t>Tank (inkl. Ölleitung)</t>
  </si>
  <si>
    <t>Puffer</t>
  </si>
  <si>
    <t>Frischwassermodul</t>
  </si>
  <si>
    <t>Umwälzpumpe</t>
  </si>
  <si>
    <t>Stückholz</t>
  </si>
  <si>
    <t>Pellets</t>
  </si>
  <si>
    <t>Flüssiggas</t>
  </si>
  <si>
    <t>Fernwärme</t>
  </si>
  <si>
    <t>Sonstige Kosten</t>
  </si>
  <si>
    <t>Arbeitszeit</t>
  </si>
  <si>
    <t>Therme</t>
  </si>
  <si>
    <t>Boiler</t>
  </si>
  <si>
    <t>Kamin</t>
  </si>
  <si>
    <t>Anschlussgebühr</t>
  </si>
  <si>
    <t>Grabungsarbeiten</t>
  </si>
  <si>
    <t>Heizungsregelung</t>
  </si>
  <si>
    <t>Tiefenbohrung</t>
  </si>
  <si>
    <t>Kollektor</t>
  </si>
  <si>
    <t>Wärmeabgabesystem</t>
  </si>
  <si>
    <t>Brunnenausbildung</t>
  </si>
  <si>
    <t>Warmwasserspeicher</t>
  </si>
  <si>
    <t>Austragung</t>
  </si>
  <si>
    <t>Heizraum</t>
  </si>
  <si>
    <t>Wärmetauscher</t>
  </si>
  <si>
    <t>Stand: August 2016</t>
  </si>
  <si>
    <t>Komfortlüftung</t>
  </si>
  <si>
    <r>
      <t xml:space="preserve">LEITFADEN  ALTERNATIVENPRÜFUNG WOHNGEBÄUDE (Ausgabe August 2016)
</t>
    </r>
    <r>
      <rPr>
        <b/>
        <sz val="12"/>
        <rFont val="Arial"/>
        <family val="2"/>
      </rPr>
      <t>VERSION 3.2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</si>
</sst>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3" formatCode="_-* #,##0.00\ _€_-;\-* #,##0.00\ _€_-;_-* &quot;-&quot;??\ _€_-;_-@_-"/>
    <numFmt numFmtId="164" formatCode="#,###\ &quot;m²&quot;"/>
    <numFmt numFmtId="165" formatCode="#,###\ &quot;kW&quot;"/>
    <numFmt numFmtId="166" formatCode="0.00\ &quot;m²&quot;"/>
    <numFmt numFmtId="167" formatCode="#,##0.##0\ &quot;kWh/m²a&quot;"/>
    <numFmt numFmtId="168" formatCode="#,##0\ &quot;°C&quot;"/>
    <numFmt numFmtId="169" formatCode="#,##0.0\ &quot;dB&quot;"/>
    <numFmt numFmtId="170" formatCode="0.00\ &quot;1/m&quot;"/>
    <numFmt numFmtId="171" formatCode="0.0\ &quot;kWh/m²a&quot;"/>
    <numFmt numFmtId="172" formatCode="0.0\ &quot;kg/m²a&quot;"/>
    <numFmt numFmtId="173" formatCode="0.0"/>
    <numFmt numFmtId="174" formatCode="#,##0.00\ &quot;m²&quot;"/>
    <numFmt numFmtId="175" formatCode="0\ &quot;kWh/a&quot;"/>
    <numFmt numFmtId="176" formatCode="#,##0\ &quot;kWh/a&quot;"/>
    <numFmt numFmtId="177" formatCode="#,##0.##0\ &quot;kg/m²a&quot;"/>
    <numFmt numFmtId="178" formatCode="#,##0.0\ &quot;m²&quot;"/>
    <numFmt numFmtId="179" formatCode="#,##0.0#\ &quot;kWh/m²a&quot;"/>
    <numFmt numFmtId="180" formatCode="#,##0.0#\ &quot;kWh/a&quot;"/>
    <numFmt numFmtId="181" formatCode="&quot;€&quot;\ #,##0.00"/>
    <numFmt numFmtId="182" formatCode="0\ &quot;Jahre&quot;"/>
    <numFmt numFmtId="183" formatCode="0.0##\ &quot;€/kWh&quot;"/>
    <numFmt numFmtId="184" formatCode="#,##0.0\ &quot;€/a&quot;"/>
    <numFmt numFmtId="185" formatCode="0.0%"/>
    <numFmt numFmtId="186" formatCode="&quot;€&quot;\ #,##0"/>
    <numFmt numFmtId="187" formatCode="#,##0.0#\ &quot;kg/m²a&quot;"/>
    <numFmt numFmtId="188" formatCode="#,##0.0\ &quot;kWh/m²a&quot;"/>
    <numFmt numFmtId="189" formatCode="#,##0\ &quot;m²&quot;"/>
    <numFmt numFmtId="190" formatCode="0.0\ &quot;m²&quot;"/>
    <numFmt numFmtId="191" formatCode="#,##0.0\ &quot;m&quot;"/>
    <numFmt numFmtId="192" formatCode="#,##0.0\ &quot;kWh/a&quot;"/>
    <numFmt numFmtId="193" formatCode="#,##0.00\ &quot;kWh/m²a&quot;"/>
    <numFmt numFmtId="194" formatCode="_-* #,##0\ _€_-;\-* #,##0\ _€_-;_-* &quot;-&quot;??\ _€_-;_-@_-"/>
    <numFmt numFmtId="195" formatCode="#,##0\ &quot;kg&quot;"/>
    <numFmt numFmtId="196" formatCode="#,##0.0000\ &quot;€&quot;"/>
    <numFmt numFmtId="197" formatCode="#,##0\ &quot;€/a&quot;"/>
    <numFmt numFmtId="198" formatCode="#,##0\ &quot;km/a&quot;"/>
  </numFmts>
  <fonts count="84" x14ac:knownFonts="1">
    <font>
      <sz val="10"/>
      <name val="Arial"/>
    </font>
    <font>
      <b/>
      <sz val="16"/>
      <name val="Arial"/>
      <family val="2"/>
    </font>
    <font>
      <sz val="11"/>
      <name val="Arial"/>
      <family val="2"/>
    </font>
    <font>
      <sz val="12"/>
      <name val="Arial"/>
      <family val="2"/>
    </font>
    <font>
      <sz val="11"/>
      <color indexed="12"/>
      <name val="Arial"/>
      <family val="2"/>
    </font>
    <font>
      <b/>
      <sz val="12"/>
      <name val="Arial"/>
      <family val="2"/>
    </font>
    <font>
      <sz val="9"/>
      <name val="Arial"/>
      <family val="2"/>
    </font>
    <font>
      <sz val="10"/>
      <color indexed="12"/>
      <name val="Arial"/>
      <family val="2"/>
    </font>
    <font>
      <sz val="8"/>
      <name val="Arial"/>
      <family val="2"/>
    </font>
    <font>
      <sz val="10"/>
      <name val="Arial"/>
      <family val="2"/>
    </font>
    <font>
      <sz val="10"/>
      <name val="Arial Narrow"/>
      <family val="2"/>
    </font>
    <font>
      <sz val="11"/>
      <name val="Arial Narrow"/>
      <family val="2"/>
    </font>
    <font>
      <b/>
      <sz val="11"/>
      <name val="Arial"/>
      <family val="2"/>
    </font>
    <font>
      <sz val="9"/>
      <name val="Arial"/>
      <family val="2"/>
    </font>
    <font>
      <sz val="8"/>
      <name val="Arial"/>
      <family val="2"/>
    </font>
    <font>
      <i/>
      <sz val="9"/>
      <name val="Arial Narrow"/>
      <family val="2"/>
    </font>
    <font>
      <sz val="10"/>
      <name val="Arial Narrow"/>
      <family val="2"/>
    </font>
    <font>
      <b/>
      <sz val="11"/>
      <name val="Arial"/>
      <family val="2"/>
    </font>
    <font>
      <sz val="11"/>
      <name val="Arial"/>
      <family val="2"/>
    </font>
    <font>
      <i/>
      <sz val="11"/>
      <name val="Arial"/>
      <family val="2"/>
    </font>
    <font>
      <i/>
      <sz val="11"/>
      <color indexed="12"/>
      <name val="Arial"/>
      <family val="2"/>
    </font>
    <font>
      <i/>
      <sz val="8"/>
      <name val="Arial"/>
      <family val="2"/>
    </font>
    <font>
      <sz val="11"/>
      <color rgb="FFFF0000"/>
      <name val="Arial"/>
      <family val="2"/>
    </font>
    <font>
      <b/>
      <sz val="14"/>
      <name val="Arial"/>
      <family val="2"/>
    </font>
    <font>
      <b/>
      <sz val="11"/>
      <color rgb="FFFF0000"/>
      <name val="Arial"/>
      <family val="2"/>
    </font>
    <font>
      <sz val="11"/>
      <color theme="3" tint="0.39997558519241921"/>
      <name val="Arial"/>
      <family val="2"/>
    </font>
    <font>
      <vertAlign val="subscript"/>
      <sz val="11"/>
      <name val="Arial"/>
      <family val="2"/>
    </font>
    <font>
      <i/>
      <sz val="8"/>
      <color rgb="FFFF0000"/>
      <name val="Arial"/>
      <family val="2"/>
    </font>
    <font>
      <i/>
      <sz val="9"/>
      <color rgb="FFFF0000"/>
      <name val="Arial"/>
      <family val="2"/>
    </font>
    <font>
      <i/>
      <sz val="11"/>
      <color rgb="FFFF0000"/>
      <name val="Arial"/>
      <family val="2"/>
    </font>
    <font>
      <i/>
      <sz val="9"/>
      <name val="Arial"/>
      <family val="2"/>
    </font>
    <font>
      <sz val="11"/>
      <color theme="0"/>
      <name val="Arial"/>
      <family val="2"/>
    </font>
    <font>
      <vertAlign val="subscript"/>
      <sz val="11"/>
      <color theme="0"/>
      <name val="Arial"/>
      <family val="2"/>
    </font>
    <font>
      <sz val="10"/>
      <color theme="0"/>
      <name val="Arial"/>
      <family val="2"/>
    </font>
    <font>
      <sz val="10"/>
      <color theme="0" tint="-0.499984740745262"/>
      <name val="Arial"/>
      <family val="2"/>
    </font>
    <font>
      <b/>
      <sz val="10"/>
      <name val="Arial"/>
      <family val="2"/>
    </font>
    <font>
      <i/>
      <sz val="10"/>
      <name val="Arial"/>
      <family val="2"/>
    </font>
    <font>
      <b/>
      <sz val="12"/>
      <color rgb="FFFF0000"/>
      <name val="Arial"/>
      <family val="2"/>
    </font>
    <font>
      <b/>
      <sz val="10"/>
      <color rgb="FFFF0000"/>
      <name val="Arial"/>
      <family val="2"/>
    </font>
    <font>
      <u/>
      <sz val="10"/>
      <color theme="10"/>
      <name val="Arial"/>
      <family val="2"/>
    </font>
    <font>
      <b/>
      <sz val="9"/>
      <color indexed="9"/>
      <name val="Arial"/>
      <family val="2"/>
    </font>
    <font>
      <i/>
      <u/>
      <sz val="10"/>
      <color theme="10"/>
      <name val="Arial"/>
      <family val="2"/>
    </font>
    <font>
      <i/>
      <sz val="10"/>
      <color rgb="FFFF0000"/>
      <name val="Arial"/>
      <family val="2"/>
    </font>
    <font>
      <sz val="10"/>
      <color rgb="FFFF0000"/>
      <name val="Arial"/>
      <family val="2"/>
    </font>
    <font>
      <i/>
      <vertAlign val="subscript"/>
      <sz val="9"/>
      <name val="Arial"/>
      <family val="2"/>
    </font>
    <font>
      <sz val="8"/>
      <color rgb="FF000000"/>
      <name val="Tahoma"/>
      <family val="2"/>
    </font>
    <font>
      <b/>
      <sz val="10"/>
      <color theme="0"/>
      <name val="Arial"/>
      <family val="2"/>
    </font>
    <font>
      <sz val="10"/>
      <color theme="0" tint="-0.34998626667073579"/>
      <name val="Arial"/>
      <family val="2"/>
    </font>
    <font>
      <sz val="11"/>
      <color theme="0" tint="-0.34998626667073579"/>
      <name val="Arial"/>
      <family val="2"/>
    </font>
    <font>
      <u/>
      <sz val="11"/>
      <color theme="3" tint="0.39997558519241921"/>
      <name val="Arial"/>
      <family val="2"/>
    </font>
    <font>
      <sz val="10"/>
      <color rgb="FFC00000"/>
      <name val="Arial"/>
      <family val="2"/>
    </font>
    <font>
      <sz val="10"/>
      <color theme="0" tint="-0.14999847407452621"/>
      <name val="Arial"/>
      <family val="2"/>
    </font>
    <font>
      <i/>
      <sz val="9"/>
      <color theme="0" tint="-0.34998626667073579"/>
      <name val="Arial"/>
      <family val="2"/>
    </font>
    <font>
      <i/>
      <sz val="9"/>
      <color theme="3" tint="0.39997558519241921"/>
      <name val="Arial"/>
      <family val="2"/>
    </font>
    <font>
      <b/>
      <u/>
      <sz val="11"/>
      <name val="Arial"/>
      <family val="2"/>
    </font>
    <font>
      <i/>
      <sz val="10"/>
      <color theme="0" tint="-0.34998626667073579"/>
      <name val="Arial"/>
      <family val="2"/>
    </font>
    <font>
      <sz val="10"/>
      <name val="Arial"/>
      <family val="2"/>
    </font>
    <font>
      <sz val="11"/>
      <color rgb="FFFF0000"/>
      <name val="Calibri"/>
      <family val="2"/>
      <scheme val="minor"/>
    </font>
    <font>
      <b/>
      <sz val="11"/>
      <color theme="1"/>
      <name val="Calibri"/>
      <family val="2"/>
      <scheme val="minor"/>
    </font>
    <font>
      <sz val="11"/>
      <color theme="1"/>
      <name val="Arial"/>
      <family val="2"/>
    </font>
    <font>
      <b/>
      <sz val="11"/>
      <color theme="1"/>
      <name val="Arial"/>
      <family val="2"/>
    </font>
    <font>
      <sz val="9"/>
      <color rgb="FFFF0000"/>
      <name val="Arial"/>
      <family val="2"/>
    </font>
    <font>
      <sz val="9"/>
      <color theme="1"/>
      <name val="Arial"/>
      <family val="2"/>
    </font>
    <font>
      <b/>
      <sz val="9"/>
      <color theme="1"/>
      <name val="Arial"/>
      <family val="2"/>
    </font>
    <font>
      <sz val="8"/>
      <color theme="1"/>
      <name val="Arial"/>
      <family val="2"/>
    </font>
    <font>
      <b/>
      <sz val="8"/>
      <color theme="1"/>
      <name val="Arial"/>
      <family val="2"/>
    </font>
    <font>
      <i/>
      <sz val="9"/>
      <color theme="1"/>
      <name val="Arial"/>
      <family val="2"/>
    </font>
    <font>
      <sz val="8"/>
      <color theme="0"/>
      <name val="Arial"/>
      <family val="2"/>
    </font>
    <font>
      <b/>
      <sz val="9"/>
      <color indexed="81"/>
      <name val="Tahoma"/>
      <family val="2"/>
    </font>
    <font>
      <sz val="9"/>
      <color indexed="81"/>
      <name val="Tahoma"/>
      <family val="2"/>
    </font>
    <font>
      <sz val="10"/>
      <color theme="1"/>
      <name val="Arial"/>
      <family val="2"/>
    </font>
    <font>
      <b/>
      <sz val="10"/>
      <color theme="1"/>
      <name val="Arial"/>
      <family val="2"/>
    </font>
    <font>
      <i/>
      <sz val="10"/>
      <color theme="1"/>
      <name val="Arial"/>
      <family val="2"/>
    </font>
    <font>
      <vertAlign val="subscript"/>
      <sz val="10"/>
      <color theme="1"/>
      <name val="Arial"/>
      <family val="2"/>
    </font>
    <font>
      <sz val="10"/>
      <color theme="1"/>
      <name val="Symbol"/>
      <family val="1"/>
      <charset val="2"/>
    </font>
    <font>
      <b/>
      <sz val="12"/>
      <color theme="1"/>
      <name val="Arial"/>
      <family val="2"/>
    </font>
    <font>
      <sz val="10"/>
      <name val="Calibri"/>
      <family val="2"/>
    </font>
    <font>
      <sz val="10.5"/>
      <name val="Arial"/>
      <family val="2"/>
    </font>
    <font>
      <sz val="9"/>
      <color indexed="81"/>
      <name val="Segoe UI"/>
      <family val="2"/>
    </font>
    <font>
      <b/>
      <sz val="9"/>
      <color indexed="81"/>
      <name val="Segoe UI"/>
      <family val="2"/>
    </font>
    <font>
      <sz val="10"/>
      <name val="Arial"/>
      <family val="2"/>
    </font>
    <font>
      <sz val="9"/>
      <color theme="0"/>
      <name val="Arial"/>
      <family val="2"/>
    </font>
    <font>
      <vertAlign val="subscript"/>
      <sz val="10"/>
      <color theme="0"/>
      <name val="Arial"/>
      <family val="2"/>
    </font>
    <font>
      <sz val="10"/>
      <color rgb="FFFF000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00CC99"/>
        <bgColor indexed="64"/>
      </patternFill>
    </fill>
    <fill>
      <patternFill patternType="solid">
        <fgColor indexed="8"/>
        <bgColor indexed="64"/>
      </patternFill>
    </fill>
    <fill>
      <patternFill patternType="solid">
        <fgColor theme="1"/>
        <bgColor indexed="64"/>
      </patternFill>
    </fill>
  </fills>
  <borders count="54">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s>
  <cellStyleXfs count="4">
    <xf numFmtId="0" fontId="0" fillId="0" borderId="0"/>
    <xf numFmtId="0" fontId="39" fillId="0" borderId="0" applyNumberFormat="0" applyFill="0" applyBorder="0" applyAlignment="0" applyProtection="0">
      <alignment vertical="top"/>
      <protection locked="0"/>
    </xf>
    <xf numFmtId="9" fontId="56" fillId="0" borderId="0" applyFont="0" applyFill="0" applyBorder="0" applyAlignment="0" applyProtection="0"/>
    <xf numFmtId="43" fontId="80" fillId="0" borderId="0" applyFont="0" applyFill="0" applyBorder="0" applyAlignment="0" applyProtection="0"/>
  </cellStyleXfs>
  <cellXfs count="1267">
    <xf numFmtId="0" fontId="0" fillId="0" borderId="0" xfId="0"/>
    <xf numFmtId="0" fontId="2" fillId="0" borderId="0" xfId="0" applyFont="1"/>
    <xf numFmtId="0" fontId="2" fillId="0" borderId="3" xfId="0" applyFont="1" applyBorder="1" applyAlignment="1">
      <alignment horizontal="center"/>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8" fillId="0" borderId="4" xfId="0" applyFont="1" applyBorder="1"/>
    <xf numFmtId="0" fontId="2" fillId="0" borderId="8" xfId="0" applyFont="1" applyBorder="1" applyAlignment="1">
      <alignment horizontal="center"/>
    </xf>
    <xf numFmtId="0" fontId="2" fillId="0" borderId="0" xfId="0" applyFont="1" applyBorder="1" applyAlignment="1">
      <alignment horizontal="right"/>
    </xf>
    <xf numFmtId="0" fontId="2" fillId="0" borderId="10" xfId="0" applyFont="1" applyBorder="1"/>
    <xf numFmtId="0" fontId="2" fillId="0" borderId="0" xfId="0" applyFont="1" applyFill="1" applyBorder="1" applyProtection="1"/>
    <xf numFmtId="0" fontId="2" fillId="0" borderId="0" xfId="0" applyFont="1" applyFill="1" applyBorder="1" applyAlignment="1" applyProtection="1">
      <alignment horizontal="left"/>
    </xf>
    <xf numFmtId="0" fontId="2" fillId="0" borderId="0" xfId="0" applyFont="1" applyBorder="1" applyAlignment="1">
      <alignment horizontal="center"/>
    </xf>
    <xf numFmtId="0" fontId="17" fillId="0" borderId="17" xfId="0" applyFont="1" applyBorder="1" applyAlignment="1">
      <alignment horizontal="center" vertical="center"/>
    </xf>
    <xf numFmtId="0" fontId="4" fillId="0" borderId="0" xfId="0" applyFont="1" applyFill="1" applyBorder="1" applyAlignment="1" applyProtection="1">
      <alignment horizontal="center"/>
    </xf>
    <xf numFmtId="0" fontId="8" fillId="0" borderId="0" xfId="0" applyFont="1" applyBorder="1"/>
    <xf numFmtId="0" fontId="21" fillId="0" borderId="0" xfId="0" applyFont="1" applyBorder="1"/>
    <xf numFmtId="0" fontId="9" fillId="0" borderId="0" xfId="0" applyFont="1" applyBorder="1" applyAlignment="1">
      <alignment horizontal="right"/>
    </xf>
    <xf numFmtId="0" fontId="22" fillId="0" borderId="4" xfId="0" applyFont="1" applyBorder="1"/>
    <xf numFmtId="0" fontId="22" fillId="0" borderId="19" xfId="0" applyFont="1" applyBorder="1"/>
    <xf numFmtId="0" fontId="2" fillId="0" borderId="21" xfId="0" applyFont="1" applyBorder="1"/>
    <xf numFmtId="0" fontId="17" fillId="0" borderId="3" xfId="0" applyFont="1" applyBorder="1" applyAlignment="1">
      <alignment horizontal="center"/>
    </xf>
    <xf numFmtId="0" fontId="0" fillId="0" borderId="0" xfId="0" applyBorder="1"/>
    <xf numFmtId="0" fontId="2" fillId="0" borderId="0" xfId="0" applyFont="1" applyAlignment="1">
      <alignment horizontal="right"/>
    </xf>
    <xf numFmtId="0" fontId="2" fillId="0" borderId="18" xfId="0" applyFont="1" applyBorder="1"/>
    <xf numFmtId="0" fontId="17" fillId="0" borderId="3" xfId="0" applyFont="1" applyBorder="1" applyAlignment="1">
      <alignment horizontal="center" vertical="center"/>
    </xf>
    <xf numFmtId="0" fontId="2" fillId="0" borderId="3" xfId="0" applyFont="1" applyBorder="1" applyAlignment="1"/>
    <xf numFmtId="0" fontId="21" fillId="0" borderId="24" xfId="0" applyFont="1" applyBorder="1"/>
    <xf numFmtId="0" fontId="17" fillId="2" borderId="33" xfId="0" applyFont="1" applyFill="1" applyBorder="1" applyAlignment="1">
      <alignment horizontal="center" vertical="center"/>
    </xf>
    <xf numFmtId="0" fontId="2" fillId="0" borderId="0" xfId="0" applyFont="1" applyBorder="1" applyAlignment="1"/>
    <xf numFmtId="49" fontId="12" fillId="4" borderId="38" xfId="0" applyNumberFormat="1" applyFont="1" applyFill="1" applyBorder="1" applyAlignment="1">
      <alignment horizontal="center" vertical="center"/>
    </xf>
    <xf numFmtId="0" fontId="12" fillId="0" borderId="18" xfId="0" applyFont="1" applyFill="1" applyBorder="1" applyAlignment="1">
      <alignment horizontal="left"/>
    </xf>
    <xf numFmtId="0" fontId="12" fillId="0" borderId="20" xfId="0" applyFont="1" applyFill="1" applyBorder="1" applyAlignment="1">
      <alignment horizontal="left"/>
    </xf>
    <xf numFmtId="0" fontId="12" fillId="0" borderId="3" xfId="0" applyFont="1" applyFill="1" applyBorder="1" applyAlignment="1">
      <alignment horizontal="center" vertical="center"/>
    </xf>
    <xf numFmtId="0" fontId="12" fillId="0" borderId="0" xfId="0" applyFont="1" applyFill="1" applyBorder="1" applyAlignment="1">
      <alignment horizontal="left"/>
    </xf>
    <xf numFmtId="0" fontId="12" fillId="0" borderId="5" xfId="0" applyFont="1" applyFill="1" applyBorder="1" applyAlignment="1">
      <alignment horizontal="left"/>
    </xf>
    <xf numFmtId="0" fontId="2" fillId="0" borderId="4" xfId="0" applyFont="1" applyFill="1" applyBorder="1" applyAlignment="1">
      <alignment horizontal="left"/>
    </xf>
    <xf numFmtId="0" fontId="2" fillId="0" borderId="13" xfId="0" applyFont="1" applyFill="1" applyBorder="1" applyAlignment="1">
      <alignment horizontal="right"/>
    </xf>
    <xf numFmtId="0" fontId="2" fillId="0" borderId="30" xfId="0" applyFont="1" applyFill="1" applyBorder="1" applyAlignment="1">
      <alignment horizontal="right"/>
    </xf>
    <xf numFmtId="0" fontId="24" fillId="0" borderId="27" xfId="0" applyFont="1" applyBorder="1"/>
    <xf numFmtId="0" fontId="2" fillId="0" borderId="24" xfId="0" applyFont="1" applyBorder="1"/>
    <xf numFmtId="0" fontId="2" fillId="0" borderId="18" xfId="0" applyFont="1" applyFill="1" applyBorder="1" applyProtection="1"/>
    <xf numFmtId="0" fontId="2" fillId="0" borderId="20" xfId="0" applyFont="1" applyBorder="1"/>
    <xf numFmtId="0" fontId="2" fillId="0" borderId="4" xfId="0" applyFont="1" applyBorder="1" applyAlignment="1">
      <alignment horizontal="center"/>
    </xf>
    <xf numFmtId="0" fontId="2" fillId="0" borderId="0" xfId="0" applyFont="1" applyFill="1" applyBorder="1" applyAlignment="1" applyProtection="1">
      <alignment horizontal="center"/>
    </xf>
    <xf numFmtId="0" fontId="9" fillId="0" borderId="0" xfId="0" applyFont="1" applyBorder="1" applyProtection="1"/>
    <xf numFmtId="0" fontId="2" fillId="0" borderId="0" xfId="0" applyFont="1" applyBorder="1" applyProtection="1"/>
    <xf numFmtId="2" fontId="2" fillId="0" borderId="0" xfId="0" applyNumberFormat="1" applyFont="1" applyFill="1" applyBorder="1" applyAlignment="1" applyProtection="1">
      <alignment horizontal="center"/>
    </xf>
    <xf numFmtId="0" fontId="4" fillId="0" borderId="0" xfId="0" applyFont="1" applyFill="1" applyBorder="1" applyProtection="1"/>
    <xf numFmtId="0" fontId="9" fillId="0" borderId="18" xfId="0" applyFont="1" applyBorder="1" applyAlignment="1">
      <alignment horizontal="right"/>
    </xf>
    <xf numFmtId="0" fontId="2" fillId="0" borderId="7" xfId="0" applyFont="1" applyBorder="1" applyAlignment="1">
      <alignment horizontal="center"/>
    </xf>
    <xf numFmtId="0" fontId="2" fillId="0" borderId="7" xfId="0" applyFont="1" applyFill="1" applyBorder="1" applyProtection="1"/>
    <xf numFmtId="0" fontId="22" fillId="0" borderId="18" xfId="0" applyFont="1" applyBorder="1"/>
    <xf numFmtId="0" fontId="27" fillId="0" borderId="0" xfId="0" applyFont="1" applyBorder="1"/>
    <xf numFmtId="0" fontId="24" fillId="0" borderId="0" xfId="0" applyFont="1" applyFill="1" applyBorder="1" applyAlignment="1">
      <alignment horizontal="left"/>
    </xf>
    <xf numFmtId="0" fontId="28" fillId="0" borderId="0" xfId="0" applyFont="1" applyBorder="1"/>
    <xf numFmtId="0" fontId="2" fillId="0" borderId="0" xfId="0" applyFont="1" applyFill="1" applyBorder="1" applyAlignment="1">
      <alignment horizontal="right"/>
    </xf>
    <xf numFmtId="0" fontId="29" fillId="0" borderId="4" xfId="0" applyFont="1" applyFill="1" applyBorder="1" applyAlignment="1">
      <alignment horizontal="left"/>
    </xf>
    <xf numFmtId="0" fontId="4" fillId="0" borderId="0" xfId="0" applyFont="1" applyFill="1" applyBorder="1" applyAlignment="1" applyProtection="1"/>
    <xf numFmtId="0" fontId="4" fillId="0" borderId="5" xfId="0" applyFont="1" applyFill="1" applyBorder="1" applyAlignment="1" applyProtection="1"/>
    <xf numFmtId="0" fontId="30" fillId="0" borderId="0" xfId="0" applyFont="1" applyBorder="1" applyAlignment="1">
      <alignment horizontal="right"/>
    </xf>
    <xf numFmtId="0" fontId="0" fillId="0" borderId="0" xfId="0" applyFill="1" applyBorder="1"/>
    <xf numFmtId="170" fontId="2" fillId="0" borderId="0" xfId="0" applyNumberFormat="1" applyFont="1" applyFill="1" applyBorder="1"/>
    <xf numFmtId="174" fontId="2" fillId="0" borderId="0" xfId="0" applyNumberFormat="1" applyFont="1" applyFill="1" applyBorder="1"/>
    <xf numFmtId="0" fontId="22" fillId="0" borderId="0" xfId="0" applyFont="1" applyBorder="1"/>
    <xf numFmtId="0" fontId="31" fillId="0" borderId="0" xfId="0" applyFont="1" applyBorder="1"/>
    <xf numFmtId="0" fontId="22" fillId="0" borderId="0" xfId="0" applyFont="1" applyBorder="1" applyAlignment="1">
      <alignment horizontal="left"/>
    </xf>
    <xf numFmtId="0" fontId="22" fillId="0" borderId="0" xfId="0" applyFont="1" applyFill="1" applyBorder="1" applyAlignment="1">
      <alignment horizontal="left"/>
    </xf>
    <xf numFmtId="0" fontId="22" fillId="0" borderId="18" xfId="0" applyFont="1" applyBorder="1" applyAlignment="1">
      <alignment horizontal="left"/>
    </xf>
    <xf numFmtId="0" fontId="9"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5" xfId="0" applyFont="1" applyFill="1" applyBorder="1" applyAlignment="1" applyProtection="1">
      <alignment horizontal="left"/>
    </xf>
    <xf numFmtId="0" fontId="2" fillId="0" borderId="18" xfId="0" applyFont="1" applyBorder="1" applyAlignment="1">
      <alignment horizontal="right"/>
    </xf>
    <xf numFmtId="0" fontId="2" fillId="0" borderId="13" xfId="0" applyFont="1" applyBorder="1" applyAlignment="1">
      <alignment horizontal="left"/>
    </xf>
    <xf numFmtId="0" fontId="29" fillId="0" borderId="18" xfId="0" applyFont="1" applyFill="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1" fillId="0" borderId="18" xfId="0" applyFont="1" applyBorder="1"/>
    <xf numFmtId="0" fontId="2" fillId="0" borderId="39" xfId="0" applyFont="1" applyBorder="1" applyAlignment="1"/>
    <xf numFmtId="0" fontId="12" fillId="0" borderId="13" xfId="0" applyFont="1" applyFill="1" applyBorder="1" applyAlignment="1">
      <alignment horizontal="left"/>
    </xf>
    <xf numFmtId="0" fontId="2" fillId="0" borderId="39" xfId="0" applyFont="1" applyBorder="1" applyAlignment="1">
      <alignment horizontal="right"/>
    </xf>
    <xf numFmtId="0" fontId="22" fillId="0" borderId="13" xfId="0" applyFont="1" applyBorder="1" applyAlignment="1">
      <alignment horizontal="left"/>
    </xf>
    <xf numFmtId="0" fontId="22" fillId="0" borderId="13" xfId="0" applyFont="1" applyFill="1" applyBorder="1" applyAlignment="1">
      <alignment horizontal="left"/>
    </xf>
    <xf numFmtId="0" fontId="12" fillId="0" borderId="14" xfId="0" applyFont="1" applyFill="1" applyBorder="1" applyAlignment="1">
      <alignment horizontal="left"/>
    </xf>
    <xf numFmtId="0" fontId="22" fillId="0" borderId="18" xfId="0" applyFont="1" applyFill="1" applyBorder="1" applyAlignment="1">
      <alignment horizontal="left"/>
    </xf>
    <xf numFmtId="0" fontId="2" fillId="0" borderId="0" xfId="0" applyFont="1" applyFill="1" applyBorder="1" applyAlignment="1" applyProtection="1">
      <alignment vertical="center"/>
    </xf>
    <xf numFmtId="0" fontId="2" fillId="5" borderId="28" xfId="0" applyFont="1" applyFill="1" applyBorder="1" applyProtection="1">
      <protection locked="0"/>
    </xf>
    <xf numFmtId="164" fontId="9" fillId="5" borderId="28" xfId="0" applyNumberFormat="1" applyFont="1" applyFill="1" applyBorder="1" applyProtection="1">
      <protection locked="0"/>
    </xf>
    <xf numFmtId="0" fontId="2" fillId="0" borderId="36" xfId="0" applyFont="1" applyBorder="1" applyAlignment="1" applyProtection="1">
      <alignment horizontal="center"/>
    </xf>
    <xf numFmtId="0" fontId="2" fillId="0" borderId="5" xfId="0" applyFont="1" applyBorder="1" applyProtection="1"/>
    <xf numFmtId="0" fontId="0" fillId="0" borderId="0" xfId="0" applyProtection="1"/>
    <xf numFmtId="0" fontId="2" fillId="0" borderId="3" xfId="0" applyFont="1" applyBorder="1" applyAlignment="1" applyProtection="1">
      <alignment horizontal="center"/>
    </xf>
    <xf numFmtId="0" fontId="2" fillId="0" borderId="4" xfId="0" applyFont="1" applyBorder="1" applyAlignment="1" applyProtection="1"/>
    <xf numFmtId="0" fontId="2" fillId="0" borderId="0" xfId="0" applyFont="1" applyBorder="1" applyAlignment="1" applyProtection="1"/>
    <xf numFmtId="0" fontId="22" fillId="0" borderId="18" xfId="0" applyFont="1" applyBorder="1" applyProtection="1"/>
    <xf numFmtId="0" fontId="27" fillId="0" borderId="0" xfId="0" applyFont="1" applyBorder="1" applyProtection="1"/>
    <xf numFmtId="0" fontId="4" fillId="0" borderId="13" xfId="0" applyFont="1" applyFill="1" applyBorder="1" applyAlignment="1" applyProtection="1"/>
    <xf numFmtId="0" fontId="4" fillId="0" borderId="18" xfId="0" applyFont="1" applyFill="1" applyBorder="1" applyProtection="1"/>
    <xf numFmtId="0" fontId="2" fillId="0" borderId="23" xfId="0" applyFont="1" applyBorder="1" applyAlignment="1" applyProtection="1"/>
    <xf numFmtId="0" fontId="4" fillId="0" borderId="19" xfId="0" applyFont="1" applyFill="1" applyBorder="1" applyAlignment="1" applyProtection="1"/>
    <xf numFmtId="0" fontId="2" fillId="0" borderId="23" xfId="0" applyFont="1" applyBorder="1" applyAlignment="1" applyProtection="1">
      <alignment horizontal="right"/>
    </xf>
    <xf numFmtId="0" fontId="22" fillId="0" borderId="19" xfId="0" applyFont="1" applyBorder="1" applyAlignment="1" applyProtection="1"/>
    <xf numFmtId="0" fontId="4" fillId="0" borderId="21" xfId="0" applyFont="1" applyFill="1" applyBorder="1" applyAlignment="1" applyProtection="1"/>
    <xf numFmtId="0" fontId="4" fillId="0" borderId="37" xfId="0" applyFont="1" applyFill="1" applyBorder="1" applyProtection="1"/>
    <xf numFmtId="0" fontId="4" fillId="0" borderId="15" xfId="0" applyFont="1" applyFill="1" applyBorder="1" applyProtection="1"/>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34" fillId="0" borderId="0" xfId="0" applyFont="1"/>
    <xf numFmtId="0" fontId="34" fillId="0" borderId="0" xfId="0" applyFont="1" applyProtection="1"/>
    <xf numFmtId="0" fontId="34" fillId="0" borderId="0" xfId="0" applyFont="1" applyProtection="1">
      <protection hidden="1"/>
    </xf>
    <xf numFmtId="0" fontId="33" fillId="0" borderId="0" xfId="0" applyFont="1" applyProtection="1">
      <protection hidden="1"/>
    </xf>
    <xf numFmtId="0" fontId="33" fillId="0" borderId="0" xfId="0" applyFont="1" applyFill="1" applyProtection="1">
      <protection locked="0" hidden="1"/>
    </xf>
    <xf numFmtId="0" fontId="33" fillId="0" borderId="0" xfId="0" applyFont="1" applyFill="1" applyBorder="1" applyProtection="1">
      <protection locked="0" hidden="1"/>
    </xf>
    <xf numFmtId="0" fontId="9" fillId="0" borderId="0" xfId="0" applyFont="1" applyFill="1" applyAlignment="1" applyProtection="1">
      <alignment horizontal="left" indent="1"/>
      <protection locked="0" hidden="1"/>
    </xf>
    <xf numFmtId="0" fontId="9" fillId="0" borderId="0" xfId="0" applyFont="1" applyFill="1" applyProtection="1">
      <protection locked="0" hidden="1"/>
    </xf>
    <xf numFmtId="0" fontId="35" fillId="0" borderId="0" xfId="0" applyFont="1" applyFill="1" applyAlignment="1" applyProtection="1">
      <alignment horizontal="left" vertical="top" indent="1"/>
      <protection locked="0" hidden="1"/>
    </xf>
    <xf numFmtId="0" fontId="9" fillId="0" borderId="0" xfId="0" applyFont="1" applyFill="1" applyBorder="1" applyProtection="1">
      <protection locked="0" hidden="1"/>
    </xf>
    <xf numFmtId="0" fontId="9" fillId="0" borderId="0" xfId="0" applyFont="1" applyFill="1" applyBorder="1" applyAlignment="1" applyProtection="1">
      <alignment horizontal="right"/>
      <protection locked="0" hidden="1"/>
    </xf>
    <xf numFmtId="0" fontId="0" fillId="0" borderId="0" xfId="0" applyProtection="1">
      <protection locked="0" hidden="1"/>
    </xf>
    <xf numFmtId="0" fontId="9" fillId="0" borderId="0" xfId="0" applyFont="1" applyProtection="1">
      <protection locked="0" hidden="1"/>
    </xf>
    <xf numFmtId="0" fontId="35" fillId="0" borderId="0" xfId="0" applyFont="1" applyProtection="1">
      <protection locked="0" hidden="1"/>
    </xf>
    <xf numFmtId="0" fontId="9" fillId="0" borderId="0" xfId="0" applyFont="1" applyAlignment="1" applyProtection="1">
      <alignment vertical="top"/>
      <protection locked="0" hidden="1"/>
    </xf>
    <xf numFmtId="0" fontId="9" fillId="0" borderId="0" xfId="0" applyFont="1" applyAlignment="1" applyProtection="1">
      <alignment horizontal="left" indent="1"/>
      <protection locked="0" hidden="1"/>
    </xf>
    <xf numFmtId="0" fontId="9" fillId="0" borderId="0" xfId="0" applyFont="1" applyAlignment="1" applyProtection="1">
      <alignment horizontal="left" vertical="center" indent="1"/>
      <protection locked="0" hidden="1"/>
    </xf>
    <xf numFmtId="0" fontId="9" fillId="0" borderId="0" xfId="0" applyFont="1" applyAlignment="1" applyProtection="1">
      <alignment horizontal="left" vertical="top" indent="1"/>
      <protection locked="0" hidden="1"/>
    </xf>
    <xf numFmtId="0" fontId="33" fillId="0" borderId="0" xfId="0" applyFont="1" applyProtection="1">
      <protection locked="0" hidden="1"/>
    </xf>
    <xf numFmtId="0" fontId="0" fillId="0" borderId="0" xfId="0" applyBorder="1" applyProtection="1">
      <protection locked="0" hidden="1"/>
    </xf>
    <xf numFmtId="0" fontId="0" fillId="0" borderId="4" xfId="0" applyBorder="1" applyProtection="1">
      <protection locked="0" hidden="1"/>
    </xf>
    <xf numFmtId="173" fontId="9" fillId="0" borderId="0" xfId="0" applyNumberFormat="1" applyFont="1" applyFill="1" applyBorder="1" applyAlignment="1" applyProtection="1">
      <alignment horizontal="left"/>
      <protection locked="0" hidden="1"/>
    </xf>
    <xf numFmtId="0" fontId="2" fillId="0" borderId="4" xfId="0" applyFont="1" applyFill="1" applyBorder="1" applyAlignment="1" applyProtection="1">
      <protection locked="0" hidden="1"/>
    </xf>
    <xf numFmtId="0" fontId="2" fillId="0" borderId="4" xfId="0" applyFont="1" applyFill="1" applyBorder="1" applyAlignment="1" applyProtection="1">
      <alignment horizontal="center"/>
      <protection locked="0" hidden="1"/>
    </xf>
    <xf numFmtId="0" fontId="12" fillId="0" borderId="4" xfId="0" applyFont="1" applyFill="1" applyBorder="1" applyAlignment="1" applyProtection="1">
      <alignment horizontal="left"/>
      <protection locked="0" hidden="1"/>
    </xf>
    <xf numFmtId="0" fontId="9" fillId="0" borderId="0" xfId="0" applyFont="1" applyBorder="1" applyProtection="1">
      <protection locked="0" hidden="1"/>
    </xf>
    <xf numFmtId="0" fontId="4" fillId="0" borderId="5" xfId="0" applyFont="1" applyFill="1" applyBorder="1" applyProtection="1"/>
    <xf numFmtId="0" fontId="2" fillId="0" borderId="0" xfId="0" applyFont="1" applyBorder="1" applyAlignment="1" applyProtection="1">
      <alignment horizontal="right"/>
    </xf>
    <xf numFmtId="0" fontId="21" fillId="0" borderId="0" xfId="0" applyFont="1" applyBorder="1" applyProtection="1"/>
    <xf numFmtId="0" fontId="2" fillId="0" borderId="0" xfId="0" applyFont="1" applyBorder="1" applyAlignment="1" applyProtection="1">
      <alignment vertical="center"/>
    </xf>
    <xf numFmtId="0" fontId="33" fillId="0" borderId="0" xfId="0" applyFont="1" applyProtection="1"/>
    <xf numFmtId="0" fontId="2" fillId="0" borderId="0" xfId="0" applyFont="1" applyProtection="1"/>
    <xf numFmtId="0" fontId="2" fillId="0" borderId="0" xfId="0" applyFont="1" applyAlignment="1" applyProtection="1">
      <alignment horizontal="right"/>
    </xf>
    <xf numFmtId="166" fontId="2" fillId="0" borderId="0" xfId="0" applyNumberFormat="1" applyFont="1" applyBorder="1" applyAlignment="1" applyProtection="1">
      <alignment horizontal="left"/>
    </xf>
    <xf numFmtId="166" fontId="22" fillId="0" borderId="5" xfId="0" applyNumberFormat="1" applyFont="1" applyBorder="1" applyAlignment="1" applyProtection="1">
      <alignment horizontal="left"/>
    </xf>
    <xf numFmtId="166" fontId="2" fillId="0" borderId="5" xfId="0" applyNumberFormat="1" applyFont="1" applyBorder="1" applyAlignment="1" applyProtection="1">
      <alignment horizontal="left"/>
    </xf>
    <xf numFmtId="0" fontId="2" fillId="0" borderId="0" xfId="0" applyFont="1" applyFill="1" applyAlignment="1" applyProtection="1">
      <alignment horizontal="left"/>
    </xf>
    <xf numFmtId="0" fontId="21" fillId="0" borderId="24" xfId="0" applyFont="1" applyBorder="1" applyProtection="1"/>
    <xf numFmtId="0" fontId="2" fillId="0" borderId="18" xfId="0" applyFont="1" applyBorder="1" applyAlignment="1" applyProtection="1">
      <alignment horizontal="right"/>
    </xf>
    <xf numFmtId="166" fontId="2" fillId="0" borderId="18" xfId="0" applyNumberFormat="1" applyFont="1" applyBorder="1" applyAlignment="1" applyProtection="1">
      <alignment horizontal="left"/>
    </xf>
    <xf numFmtId="166" fontId="2" fillId="0" borderId="20" xfId="0" applyNumberFormat="1" applyFont="1" applyBorder="1" applyAlignment="1" applyProtection="1">
      <alignment horizontal="left"/>
    </xf>
    <xf numFmtId="0" fontId="2" fillId="0" borderId="19" xfId="0" applyFont="1" applyBorder="1" applyAlignment="1" applyProtection="1"/>
    <xf numFmtId="0" fontId="2" fillId="0" borderId="19" xfId="0" applyFont="1" applyBorder="1" applyAlignment="1" applyProtection="1">
      <alignment horizontal="right"/>
    </xf>
    <xf numFmtId="0" fontId="2" fillId="0" borderId="8" xfId="0" applyFont="1" applyBorder="1" applyAlignment="1" applyProtection="1">
      <alignment horizontal="center"/>
    </xf>
    <xf numFmtId="0" fontId="4" fillId="0" borderId="20" xfId="0" applyFont="1" applyFill="1" applyBorder="1" applyProtection="1"/>
    <xf numFmtId="0" fontId="0" fillId="0" borderId="0" xfId="0" applyProtection="1">
      <protection hidden="1"/>
    </xf>
    <xf numFmtId="0" fontId="2" fillId="0" borderId="0" xfId="0" applyFont="1" applyBorder="1" applyAlignment="1" applyProtection="1">
      <alignment horizontal="center"/>
    </xf>
    <xf numFmtId="169" fontId="6" fillId="0" borderId="0" xfId="0" applyNumberFormat="1" applyFont="1" applyBorder="1" applyAlignment="1" applyProtection="1">
      <alignment horizontal="right"/>
    </xf>
    <xf numFmtId="0" fontId="22" fillId="0" borderId="0" xfId="0" applyFont="1" applyBorder="1" applyProtection="1"/>
    <xf numFmtId="0" fontId="18" fillId="0" borderId="0" xfId="0" applyFont="1" applyBorder="1" applyAlignment="1" applyProtection="1">
      <alignment horizontal="right" vertical="center"/>
    </xf>
    <xf numFmtId="0" fontId="0" fillId="0" borderId="0" xfId="0" applyBorder="1" applyProtection="1">
      <protection hidden="1"/>
    </xf>
    <xf numFmtId="0" fontId="2" fillId="0" borderId="4" xfId="0" applyFont="1" applyBorder="1" applyAlignment="1" applyProtection="1">
      <alignment horizontal="center"/>
    </xf>
    <xf numFmtId="0" fontId="13" fillId="0" borderId="0" xfId="0" applyFont="1" applyBorder="1" applyAlignment="1" applyProtection="1">
      <alignment horizontal="left" indent="1"/>
    </xf>
    <xf numFmtId="0" fontId="17" fillId="0" borderId="4" xfId="0" applyFont="1" applyBorder="1" applyAlignment="1" applyProtection="1">
      <alignment horizontal="center"/>
    </xf>
    <xf numFmtId="0" fontId="19" fillId="0" borderId="0" xfId="0" applyFont="1" applyBorder="1" applyProtection="1"/>
    <xf numFmtId="0" fontId="4" fillId="0" borderId="7" xfId="0" applyFont="1" applyFill="1" applyBorder="1" applyAlignment="1" applyProtection="1">
      <alignment horizontal="left"/>
    </xf>
    <xf numFmtId="0" fontId="2" fillId="0" borderId="18" xfId="0" applyFont="1" applyBorder="1" applyProtection="1"/>
    <xf numFmtId="0" fontId="22" fillId="0" borderId="19" xfId="0" applyFont="1" applyFill="1" applyBorder="1" applyAlignment="1" applyProtection="1"/>
    <xf numFmtId="0" fontId="4" fillId="0" borderId="21" xfId="0" applyFont="1" applyFill="1" applyBorder="1" applyProtection="1"/>
    <xf numFmtId="0" fontId="22" fillId="0" borderId="13" xfId="0" applyFont="1" applyBorder="1" applyAlignment="1" applyProtection="1">
      <alignment vertical="center"/>
    </xf>
    <xf numFmtId="0" fontId="2" fillId="0" borderId="13" xfId="0" applyFont="1" applyBorder="1" applyProtection="1"/>
    <xf numFmtId="0" fontId="2" fillId="0" borderId="13" xfId="0" applyFont="1" applyBorder="1" applyAlignment="1" applyProtection="1">
      <alignment horizontal="right"/>
    </xf>
    <xf numFmtId="0" fontId="2" fillId="0" borderId="7" xfId="0" applyFont="1" applyBorder="1" applyProtection="1"/>
    <xf numFmtId="0" fontId="2" fillId="0" borderId="7" xfId="0" applyFont="1" applyBorder="1" applyAlignment="1" applyProtection="1">
      <alignment horizontal="right"/>
    </xf>
    <xf numFmtId="0" fontId="4" fillId="0" borderId="7" xfId="0" applyFont="1" applyFill="1" applyBorder="1" applyAlignment="1" applyProtection="1"/>
    <xf numFmtId="0" fontId="4" fillId="0" borderId="10" xfId="0" applyFont="1" applyFill="1" applyBorder="1" applyProtection="1"/>
    <xf numFmtId="0" fontId="2" fillId="0" borderId="4" xfId="0" applyFont="1" applyBorder="1" applyProtection="1"/>
    <xf numFmtId="0" fontId="13" fillId="0" borderId="0" xfId="0" applyFont="1" applyBorder="1" applyProtection="1"/>
    <xf numFmtId="0" fontId="10" fillId="0" borderId="0" xfId="0" applyFont="1" applyBorder="1" applyAlignment="1" applyProtection="1">
      <alignment horizontal="right"/>
    </xf>
    <xf numFmtId="0" fontId="13" fillId="0" borderId="0" xfId="0" applyFont="1" applyBorder="1" applyAlignment="1" applyProtection="1">
      <alignment vertical="top"/>
    </xf>
    <xf numFmtId="0" fontId="0" fillId="0" borderId="0" xfId="0" applyBorder="1" applyAlignment="1" applyProtection="1">
      <alignment horizontal="left"/>
    </xf>
    <xf numFmtId="0" fontId="13" fillId="0" borderId="0" xfId="0" applyFont="1" applyBorder="1" applyAlignment="1" applyProtection="1">
      <alignment horizontal="right"/>
    </xf>
    <xf numFmtId="0" fontId="13" fillId="0" borderId="0" xfId="0" applyFont="1" applyFill="1" applyBorder="1" applyAlignment="1" applyProtection="1">
      <alignment horizontal="right" vertical="center"/>
    </xf>
    <xf numFmtId="0" fontId="13" fillId="0" borderId="0" xfId="0" applyFont="1" applyBorder="1" applyAlignment="1" applyProtection="1">
      <alignment horizontal="right" vertical="center"/>
    </xf>
    <xf numFmtId="0" fontId="13" fillId="0" borderId="0" xfId="0" applyFont="1" applyBorder="1" applyAlignment="1" applyProtection="1">
      <alignment horizontal="right" vertical="top"/>
    </xf>
    <xf numFmtId="0" fontId="8" fillId="0" borderId="0" xfId="0" applyFont="1" applyBorder="1" applyAlignment="1" applyProtection="1">
      <alignment horizontal="left"/>
    </xf>
    <xf numFmtId="0" fontId="17" fillId="0" borderId="0" xfId="0" applyFont="1" applyBorder="1" applyAlignment="1" applyProtection="1">
      <alignment horizontal="center"/>
    </xf>
    <xf numFmtId="0" fontId="12" fillId="0" borderId="0" xfId="0" applyFont="1" applyBorder="1" applyProtection="1"/>
    <xf numFmtId="0" fontId="0" fillId="0" borderId="0" xfId="0" applyBorder="1" applyProtection="1"/>
    <xf numFmtId="0" fontId="11" fillId="0" borderId="0" xfId="0" applyFont="1" applyBorder="1" applyProtection="1"/>
    <xf numFmtId="0" fontId="16" fillId="0" borderId="0" xfId="0" applyFont="1" applyBorder="1" applyProtection="1"/>
    <xf numFmtId="0" fontId="10" fillId="0" borderId="0" xfId="0" applyFont="1" applyBorder="1" applyProtection="1"/>
    <xf numFmtId="0" fontId="15" fillId="0" borderId="0" xfId="0" applyFont="1" applyBorder="1" applyProtection="1"/>
    <xf numFmtId="14" fontId="2" fillId="0" borderId="0" xfId="0" applyNumberFormat="1" applyFont="1" applyBorder="1" applyAlignment="1" applyProtection="1">
      <alignment horizontal="right"/>
    </xf>
    <xf numFmtId="0" fontId="2" fillId="0" borderId="0" xfId="0" applyFont="1" applyBorder="1" applyAlignment="1" applyProtection="1">
      <alignment horizontal="left"/>
    </xf>
    <xf numFmtId="0" fontId="9" fillId="0" borderId="31" xfId="0" applyFont="1" applyFill="1" applyBorder="1" applyProtection="1">
      <protection locked="0" hidden="1"/>
    </xf>
    <xf numFmtId="0" fontId="9" fillId="0" borderId="13" xfId="0" applyFont="1" applyFill="1" applyBorder="1" applyAlignment="1" applyProtection="1">
      <alignment horizontal="left" indent="1"/>
      <protection locked="0" hidden="1"/>
    </xf>
    <xf numFmtId="0" fontId="9" fillId="0" borderId="13" xfId="0" applyFont="1" applyFill="1" applyBorder="1" applyProtection="1">
      <protection locked="0" hidden="1"/>
    </xf>
    <xf numFmtId="0" fontId="9" fillId="0" borderId="40" xfId="0" applyFont="1" applyFill="1" applyBorder="1" applyProtection="1">
      <protection locked="0" hidden="1"/>
    </xf>
    <xf numFmtId="0" fontId="9" fillId="0" borderId="32" xfId="0" applyFont="1" applyFill="1" applyBorder="1" applyProtection="1">
      <protection locked="0" hidden="1"/>
    </xf>
    <xf numFmtId="0" fontId="9" fillId="0" borderId="18" xfId="0" applyFont="1" applyFill="1" applyBorder="1" applyAlignment="1" applyProtection="1">
      <alignment horizontal="left" indent="1"/>
      <protection locked="0" hidden="1"/>
    </xf>
    <xf numFmtId="0" fontId="9" fillId="0" borderId="18" xfId="0" applyFont="1" applyFill="1" applyBorder="1" applyProtection="1">
      <protection locked="0" hidden="1"/>
    </xf>
    <xf numFmtId="0" fontId="9" fillId="0" borderId="41" xfId="0" applyFont="1" applyFill="1" applyBorder="1" applyProtection="1">
      <protection locked="0" hidden="1"/>
    </xf>
    <xf numFmtId="0" fontId="9" fillId="0" borderId="30" xfId="0" applyFont="1" applyFill="1" applyBorder="1" applyAlignment="1" applyProtection="1">
      <alignment horizontal="right"/>
      <protection locked="0" hidden="1"/>
    </xf>
    <xf numFmtId="0" fontId="9" fillId="0" borderId="29" xfId="0" applyFont="1" applyFill="1" applyBorder="1" applyProtection="1">
      <protection locked="0" hidden="1"/>
    </xf>
    <xf numFmtId="0" fontId="9" fillId="0" borderId="30" xfId="0" applyFont="1" applyFill="1" applyBorder="1" applyProtection="1">
      <protection locked="0" hidden="1"/>
    </xf>
    <xf numFmtId="0" fontId="33" fillId="0" borderId="29" xfId="0" applyFont="1" applyFill="1" applyBorder="1" applyProtection="1">
      <protection locked="0" hidden="1"/>
    </xf>
    <xf numFmtId="0" fontId="33" fillId="0" borderId="41" xfId="0" applyFont="1" applyFill="1" applyBorder="1" applyProtection="1">
      <protection locked="0" hidden="1"/>
    </xf>
    <xf numFmtId="0" fontId="9" fillId="0" borderId="13" xfId="0" applyFont="1" applyFill="1" applyBorder="1" applyAlignment="1" applyProtection="1">
      <alignment horizontal="right"/>
      <protection locked="0" hidden="1"/>
    </xf>
    <xf numFmtId="0" fontId="33" fillId="0" borderId="18" xfId="0" applyFont="1" applyFill="1" applyBorder="1" applyProtection="1">
      <protection locked="0" hidden="1"/>
    </xf>
    <xf numFmtId="0" fontId="9" fillId="0" borderId="19" xfId="0" applyFont="1" applyFill="1" applyBorder="1" applyProtection="1">
      <protection locked="0" hidden="1"/>
    </xf>
    <xf numFmtId="0" fontId="33" fillId="0" borderId="19" xfId="0" applyFont="1" applyFill="1" applyBorder="1" applyProtection="1">
      <protection locked="0" hidden="1"/>
    </xf>
    <xf numFmtId="0" fontId="28" fillId="0" borderId="0" xfId="0" applyFont="1" applyFill="1" applyBorder="1" applyAlignment="1">
      <alignment horizontal="left"/>
    </xf>
    <xf numFmtId="167" fontId="2" fillId="0" borderId="28" xfId="0" applyNumberFormat="1" applyFont="1" applyBorder="1" applyAlignment="1">
      <alignment horizontal="left" vertical="center" wrapText="1"/>
    </xf>
    <xf numFmtId="0" fontId="9" fillId="0" borderId="42" xfId="0" applyFont="1" applyFill="1" applyBorder="1" applyProtection="1">
      <protection locked="0" hidden="1"/>
    </xf>
    <xf numFmtId="0" fontId="9" fillId="0" borderId="43" xfId="0" applyFont="1" applyFill="1" applyBorder="1" applyProtection="1">
      <protection locked="0" hidden="1"/>
    </xf>
    <xf numFmtId="0" fontId="9" fillId="0" borderId="35" xfId="0" applyFont="1" applyFill="1" applyBorder="1" applyProtection="1">
      <protection locked="0" hidden="1"/>
    </xf>
    <xf numFmtId="0" fontId="9" fillId="0" borderId="40" xfId="0" applyFont="1" applyFill="1" applyBorder="1" applyAlignment="1" applyProtection="1">
      <alignment horizontal="right" vertical="top"/>
      <protection locked="0" hidden="1"/>
    </xf>
    <xf numFmtId="0" fontId="4" fillId="0" borderId="18" xfId="0" applyFont="1" applyFill="1" applyBorder="1" applyAlignment="1" applyProtection="1"/>
    <xf numFmtId="0" fontId="36" fillId="0" borderId="0" xfId="0" applyFont="1" applyProtection="1"/>
    <xf numFmtId="0" fontId="36" fillId="0" borderId="0" xfId="0" applyFont="1" applyAlignment="1" applyProtection="1">
      <alignment horizontal="right"/>
    </xf>
    <xf numFmtId="166" fontId="36" fillId="0" borderId="28" xfId="0" applyNumberFormat="1" applyFont="1" applyBorder="1" applyAlignment="1" applyProtection="1">
      <alignment horizontal="left"/>
    </xf>
    <xf numFmtId="0" fontId="9" fillId="0" borderId="18" xfId="0" applyFont="1" applyFill="1" applyBorder="1" applyAlignment="1" applyProtection="1">
      <alignment horizontal="right"/>
      <protection locked="0" hidden="1"/>
    </xf>
    <xf numFmtId="0" fontId="9" fillId="0" borderId="28" xfId="0" applyFont="1" applyFill="1" applyBorder="1" applyProtection="1">
      <protection locked="0" hidden="1"/>
    </xf>
    <xf numFmtId="0" fontId="12" fillId="0" borderId="0" xfId="0" applyFont="1" applyFill="1" applyBorder="1" applyAlignment="1" applyProtection="1"/>
    <xf numFmtId="0" fontId="4" fillId="0" borderId="5" xfId="0" applyFont="1" applyFill="1" applyBorder="1" applyAlignment="1" applyProtection="1">
      <alignment vertical="center"/>
    </xf>
    <xf numFmtId="0" fontId="12" fillId="0" borderId="5" xfId="0" applyFont="1" applyFill="1" applyBorder="1" applyAlignment="1" applyProtection="1"/>
    <xf numFmtId="0" fontId="2" fillId="0" borderId="5" xfId="0" applyFont="1" applyBorder="1" applyAlignment="1" applyProtection="1"/>
    <xf numFmtId="0" fontId="0" fillId="0" borderId="5" xfId="0" applyBorder="1" applyProtection="1"/>
    <xf numFmtId="0" fontId="17" fillId="0" borderId="3" xfId="0" applyFont="1" applyFill="1" applyBorder="1" applyAlignment="1" applyProtection="1">
      <alignment horizontal="center" vertical="center"/>
    </xf>
    <xf numFmtId="0" fontId="2" fillId="0" borderId="0" xfId="0" applyFont="1" applyBorder="1" applyAlignment="1">
      <alignment horizontal="right"/>
    </xf>
    <xf numFmtId="176" fontId="2" fillId="0" borderId="0" xfId="0" applyNumberFormat="1" applyFont="1" applyBorder="1"/>
    <xf numFmtId="0" fontId="3" fillId="0" borderId="0" xfId="0" applyFont="1" applyBorder="1" applyAlignment="1">
      <alignment wrapText="1"/>
    </xf>
    <xf numFmtId="0" fontId="2" fillId="0" borderId="0" xfId="0" applyFont="1" applyBorder="1" applyAlignment="1">
      <alignment horizontal="left"/>
    </xf>
    <xf numFmtId="178" fontId="2" fillId="5" borderId="28" xfId="0" applyNumberFormat="1" applyFont="1" applyFill="1" applyBorder="1" applyAlignment="1" applyProtection="1">
      <alignment vertical="center"/>
      <protection locked="0"/>
    </xf>
    <xf numFmtId="170" fontId="2" fillId="5" borderId="28" xfId="0" applyNumberFormat="1" applyFont="1" applyFill="1" applyBorder="1" applyAlignment="1" applyProtection="1">
      <alignment vertical="center"/>
      <protection locked="0"/>
    </xf>
    <xf numFmtId="4" fontId="2" fillId="5" borderId="28" xfId="0" applyNumberFormat="1" applyFont="1" applyFill="1" applyBorder="1" applyAlignment="1" applyProtection="1">
      <alignment vertical="center"/>
      <protection locked="0"/>
    </xf>
    <xf numFmtId="0" fontId="21" fillId="0" borderId="0" xfId="0" applyFont="1" applyBorder="1" applyAlignment="1">
      <alignment horizontal="right"/>
    </xf>
    <xf numFmtId="179" fontId="2" fillId="5" borderId="28" xfId="0" applyNumberFormat="1" applyFont="1" applyFill="1" applyBorder="1" applyAlignment="1" applyProtection="1">
      <alignment vertical="center"/>
      <protection locked="0"/>
    </xf>
    <xf numFmtId="0" fontId="9" fillId="0" borderId="0" xfId="0" applyFont="1" applyFill="1" applyAlignment="1" applyProtection="1">
      <alignment horizontal="right"/>
      <protection locked="0" hidden="1"/>
    </xf>
    <xf numFmtId="0" fontId="2" fillId="0" borderId="0" xfId="0" applyFont="1" applyFill="1" applyProtection="1">
      <protection locked="0" hidden="1"/>
    </xf>
    <xf numFmtId="2" fontId="9" fillId="0" borderId="0" xfId="0" applyNumberFormat="1" applyFont="1" applyFill="1" applyBorder="1" applyProtection="1">
      <protection locked="0" hidden="1"/>
    </xf>
    <xf numFmtId="2" fontId="2" fillId="0" borderId="0" xfId="0" applyNumberFormat="1" applyFont="1" applyBorder="1" applyAlignment="1">
      <alignment horizontal="right"/>
    </xf>
    <xf numFmtId="2" fontId="2" fillId="0" borderId="0" xfId="0" applyNumberFormat="1" applyFont="1" applyBorder="1" applyAlignment="1">
      <alignment horizontal="center"/>
    </xf>
    <xf numFmtId="2" fontId="2" fillId="0" borderId="0" xfId="0" applyNumberFormat="1" applyFont="1" applyBorder="1" applyAlignment="1"/>
    <xf numFmtId="1" fontId="9" fillId="0" borderId="0" xfId="0" applyNumberFormat="1" applyFont="1" applyFill="1" applyBorder="1" applyAlignment="1" applyProtection="1">
      <alignment horizontal="right"/>
      <protection locked="0" hidden="1"/>
    </xf>
    <xf numFmtId="0" fontId="9" fillId="0" borderId="4" xfId="0" applyFont="1" applyBorder="1" applyAlignment="1">
      <alignment horizontal="right" vertical="center" wrapText="1"/>
    </xf>
    <xf numFmtId="0" fontId="9" fillId="0" borderId="6" xfId="0" applyFont="1" applyBorder="1"/>
    <xf numFmtId="0" fontId="9" fillId="0" borderId="7" xfId="0" applyFont="1" applyBorder="1"/>
    <xf numFmtId="0" fontId="9" fillId="0" borderId="10" xfId="0" applyFont="1" applyBorder="1"/>
    <xf numFmtId="0" fontId="9" fillId="0" borderId="4" xfId="0" applyFont="1" applyBorder="1" applyAlignment="1">
      <alignment horizontal="right" vertical="center"/>
    </xf>
    <xf numFmtId="0" fontId="2" fillId="0" borderId="0" xfId="0" applyFont="1" applyBorder="1" applyAlignment="1" applyProtection="1">
      <alignment vertical="center" wrapText="1"/>
    </xf>
    <xf numFmtId="0" fontId="0" fillId="0" borderId="4" xfId="0" applyBorder="1"/>
    <xf numFmtId="0" fontId="0" fillId="0" borderId="6" xfId="0" applyBorder="1"/>
    <xf numFmtId="0" fontId="0" fillId="0" borderId="0" xfId="0" applyFill="1"/>
    <xf numFmtId="0" fontId="30" fillId="0" borderId="0" xfId="0" applyFont="1" applyBorder="1"/>
    <xf numFmtId="168" fontId="2" fillId="5" borderId="44" xfId="0" applyNumberFormat="1" applyFont="1" applyFill="1" applyBorder="1" applyAlignment="1" applyProtection="1">
      <alignment horizontal="center"/>
      <protection locked="0"/>
    </xf>
    <xf numFmtId="0" fontId="31" fillId="0" borderId="0" xfId="0" applyFont="1" applyFill="1" applyBorder="1"/>
    <xf numFmtId="173" fontId="31" fillId="0" borderId="0" xfId="0" applyNumberFormat="1" applyFont="1" applyFill="1" applyBorder="1"/>
    <xf numFmtId="165" fontId="2" fillId="5" borderId="35" xfId="0" applyNumberFormat="1" applyFont="1" applyFill="1" applyBorder="1" applyProtection="1">
      <protection locked="0"/>
    </xf>
    <xf numFmtId="0" fontId="39" fillId="0" borderId="0" xfId="1" applyAlignment="1" applyProtection="1"/>
    <xf numFmtId="0" fontId="39" fillId="0" borderId="0" xfId="1" applyAlignment="1" applyProtection="1">
      <alignment horizontal="center"/>
    </xf>
    <xf numFmtId="0" fontId="0" fillId="0" borderId="5" xfId="0" applyBorder="1"/>
    <xf numFmtId="0" fontId="0" fillId="0" borderId="10" xfId="0" applyBorder="1"/>
    <xf numFmtId="0" fontId="0" fillId="0" borderId="30" xfId="0" applyBorder="1"/>
    <xf numFmtId="0" fontId="0" fillId="0" borderId="18" xfId="0" applyBorder="1"/>
    <xf numFmtId="0" fontId="0" fillId="0" borderId="7" xfId="0" applyBorder="1"/>
    <xf numFmtId="0" fontId="0" fillId="0" borderId="1" xfId="0" applyBorder="1"/>
    <xf numFmtId="0" fontId="12" fillId="0" borderId="4" xfId="0" applyFont="1" applyBorder="1"/>
    <xf numFmtId="0" fontId="30" fillId="0" borderId="0" xfId="0" applyFont="1" applyFill="1" applyBorder="1" applyAlignment="1">
      <alignment horizontal="right"/>
    </xf>
    <xf numFmtId="0" fontId="3" fillId="0" borderId="7" xfId="0" applyFont="1" applyFill="1" applyBorder="1" applyAlignment="1" applyProtection="1">
      <alignment horizontal="left"/>
    </xf>
    <xf numFmtId="0" fontId="9" fillId="0" borderId="0" xfId="0" applyFont="1" applyBorder="1" applyAlignment="1" applyProtection="1">
      <alignment horizontal="left" indent="1"/>
      <protection locked="0" hidden="1"/>
    </xf>
    <xf numFmtId="0" fontId="2" fillId="0" borderId="0" xfId="0" applyFont="1" applyBorder="1" applyAlignment="1">
      <alignment horizontal="left"/>
    </xf>
    <xf numFmtId="0" fontId="39" fillId="0" borderId="5" xfId="1" applyBorder="1" applyAlignment="1" applyProtection="1"/>
    <xf numFmtId="0" fontId="42" fillId="0" borderId="0" xfId="0" applyFont="1"/>
    <xf numFmtId="0" fontId="23" fillId="3" borderId="0" xfId="0" applyFont="1" applyFill="1" applyBorder="1" applyAlignment="1">
      <alignment horizontal="center" vertical="center"/>
    </xf>
    <xf numFmtId="49" fontId="12" fillId="2" borderId="38" xfId="0" applyNumberFormat="1" applyFont="1" applyFill="1" applyBorder="1" applyAlignment="1">
      <alignment horizontal="center" vertical="center"/>
    </xf>
    <xf numFmtId="0" fontId="2" fillId="0" borderId="0" xfId="0" applyFont="1" applyBorder="1" applyAlignment="1">
      <alignment horizontal="right"/>
    </xf>
    <xf numFmtId="0" fontId="2" fillId="0" borderId="0" xfId="0" applyFont="1" applyBorder="1" applyAlignment="1" applyProtection="1">
      <alignment horizontal="center"/>
    </xf>
    <xf numFmtId="0" fontId="17" fillId="4" borderId="46" xfId="0" applyFont="1" applyFill="1" applyBorder="1" applyAlignment="1" applyProtection="1">
      <alignment horizontal="center" vertical="center"/>
    </xf>
    <xf numFmtId="0" fontId="2" fillId="0" borderId="9" xfId="0" applyFont="1" applyBorder="1" applyAlignment="1" applyProtection="1">
      <alignment horizontal="center"/>
    </xf>
    <xf numFmtId="0" fontId="2" fillId="0" borderId="29" xfId="0" applyFont="1" applyBorder="1" applyAlignment="1" applyProtection="1">
      <alignment horizontal="right"/>
    </xf>
    <xf numFmtId="179" fontId="2" fillId="0" borderId="35" xfId="0" applyNumberFormat="1" applyFont="1" applyFill="1" applyBorder="1" applyAlignment="1" applyProtection="1"/>
    <xf numFmtId="175" fontId="2" fillId="0" borderId="0" xfId="0" applyNumberFormat="1" applyFont="1" applyBorder="1" applyAlignment="1" applyProtection="1">
      <alignment horizontal="right"/>
    </xf>
    <xf numFmtId="179" fontId="2" fillId="0" borderId="28" xfId="0" applyNumberFormat="1" applyFont="1" applyFill="1" applyBorder="1" applyAlignment="1" applyProtection="1"/>
    <xf numFmtId="0" fontId="30" fillId="0" borderId="0" xfId="0" applyFont="1" applyBorder="1" applyAlignment="1" applyProtection="1">
      <alignment horizontal="right"/>
    </xf>
    <xf numFmtId="0" fontId="0" fillId="0" borderId="4" xfId="0" applyBorder="1" applyProtection="1"/>
    <xf numFmtId="0" fontId="0" fillId="0" borderId="0" xfId="0" applyFill="1" applyBorder="1" applyProtection="1"/>
    <xf numFmtId="176" fontId="2" fillId="0" borderId="28" xfId="0" applyNumberFormat="1" applyFont="1" applyBorder="1" applyProtection="1"/>
    <xf numFmtId="180" fontId="2" fillId="0" borderId="0" xfId="0" applyNumberFormat="1" applyFont="1" applyFill="1" applyBorder="1" applyAlignment="1" applyProtection="1"/>
    <xf numFmtId="0" fontId="0" fillId="0" borderId="7" xfId="0" applyBorder="1" applyProtection="1"/>
    <xf numFmtId="0" fontId="0" fillId="0" borderId="10" xfId="0" applyBorder="1" applyProtection="1"/>
    <xf numFmtId="0" fontId="17" fillId="0" borderId="4" xfId="0" applyFont="1" applyBorder="1" applyAlignment="1" applyProtection="1">
      <alignment horizontal="center" vertical="center"/>
    </xf>
    <xf numFmtId="0" fontId="12" fillId="0" borderId="0" xfId="0" applyFont="1" applyBorder="1" applyAlignment="1" applyProtection="1">
      <alignment horizontal="left" vertical="center"/>
    </xf>
    <xf numFmtId="0" fontId="35" fillId="0" borderId="2" xfId="0" applyFont="1" applyBorder="1" applyAlignment="1" applyProtection="1">
      <alignment horizontal="center"/>
    </xf>
    <xf numFmtId="0" fontId="9" fillId="0" borderId="4" xfId="0" applyFont="1" applyBorder="1" applyProtection="1"/>
    <xf numFmtId="181" fontId="2" fillId="7" borderId="46" xfId="0" applyNumberFormat="1" applyFont="1" applyFill="1" applyBorder="1" applyProtection="1"/>
    <xf numFmtId="181" fontId="0" fillId="0" borderId="2" xfId="0" applyNumberFormat="1" applyBorder="1" applyProtection="1"/>
    <xf numFmtId="181" fontId="0" fillId="0" borderId="5" xfId="0" applyNumberFormat="1" applyBorder="1" applyProtection="1"/>
    <xf numFmtId="0" fontId="17" fillId="4" borderId="17" xfId="0" applyFont="1" applyFill="1" applyBorder="1" applyAlignment="1" applyProtection="1">
      <alignment horizontal="center" vertical="center"/>
    </xf>
    <xf numFmtId="0" fontId="12" fillId="0" borderId="1"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7" fillId="0" borderId="0" xfId="0" applyFont="1" applyFill="1" applyBorder="1" applyAlignment="1" applyProtection="1">
      <alignment horizontal="center" vertical="center"/>
    </xf>
    <xf numFmtId="0" fontId="12" fillId="0" borderId="18"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0" fillId="0" borderId="0" xfId="0" applyBorder="1" applyAlignment="1" applyProtection="1">
      <alignment horizontal="left"/>
    </xf>
    <xf numFmtId="9" fontId="0" fillId="0" borderId="28" xfId="0" applyNumberFormat="1" applyFill="1" applyBorder="1" applyProtection="1"/>
    <xf numFmtId="0" fontId="0" fillId="0" borderId="0" xfId="0" applyFill="1" applyProtection="1"/>
    <xf numFmtId="9" fontId="0" fillId="0" borderId="44" xfId="0" applyNumberFormat="1" applyFill="1" applyBorder="1" applyProtection="1"/>
    <xf numFmtId="0" fontId="9" fillId="0" borderId="4" xfId="0" applyFont="1" applyBorder="1" applyAlignment="1" applyProtection="1">
      <alignment horizontal="left"/>
    </xf>
    <xf numFmtId="176" fontId="9" fillId="0" borderId="28" xfId="0" applyNumberFormat="1" applyFont="1" applyBorder="1" applyProtection="1"/>
    <xf numFmtId="176" fontId="9" fillId="0" borderId="44" xfId="0" applyNumberFormat="1" applyFont="1" applyBorder="1" applyProtection="1"/>
    <xf numFmtId="0" fontId="12" fillId="0" borderId="4" xfId="0" applyFont="1" applyBorder="1" applyProtection="1"/>
    <xf numFmtId="186" fontId="2" fillId="7" borderId="46" xfId="0" applyNumberFormat="1" applyFont="1" applyFill="1" applyBorder="1" applyProtection="1"/>
    <xf numFmtId="0" fontId="0" fillId="0" borderId="1" xfId="0" applyBorder="1" applyProtection="1"/>
    <xf numFmtId="0" fontId="12" fillId="0" borderId="1" xfId="0" applyFont="1" applyBorder="1" applyAlignment="1" applyProtection="1">
      <alignment horizontal="left" vertical="center"/>
    </xf>
    <xf numFmtId="0" fontId="12" fillId="0" borderId="11" xfId="0" applyFont="1" applyBorder="1" applyAlignment="1" applyProtection="1">
      <alignment horizontal="left" vertical="center"/>
    </xf>
    <xf numFmtId="0" fontId="12" fillId="0" borderId="12" xfId="0" applyFont="1" applyBorder="1" applyAlignment="1" applyProtection="1">
      <alignment horizontal="left" vertical="center"/>
    </xf>
    <xf numFmtId="0" fontId="0" fillId="0" borderId="3" xfId="0" applyBorder="1" applyProtection="1"/>
    <xf numFmtId="181" fontId="0" fillId="5" borderId="28" xfId="0" applyNumberFormat="1" applyFill="1" applyBorder="1" applyProtection="1">
      <protection locked="0"/>
    </xf>
    <xf numFmtId="181" fontId="0" fillId="5" borderId="44" xfId="0" applyNumberFormat="1" applyFill="1" applyBorder="1" applyProtection="1">
      <protection locked="0"/>
    </xf>
    <xf numFmtId="184" fontId="0" fillId="5" borderId="28" xfId="0" applyNumberFormat="1" applyFill="1" applyBorder="1" applyProtection="1">
      <protection locked="0"/>
    </xf>
    <xf numFmtId="184" fontId="0" fillId="5" borderId="44" xfId="0" applyNumberFormat="1" applyFill="1" applyBorder="1" applyProtection="1">
      <protection locked="0"/>
    </xf>
    <xf numFmtId="0" fontId="23" fillId="3" borderId="7"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9" xfId="0" applyFont="1" applyBorder="1" applyAlignment="1" applyProtection="1">
      <alignment horizontal="center" vertical="center"/>
    </xf>
    <xf numFmtId="186" fontId="2" fillId="0" borderId="0" xfId="0" applyNumberFormat="1" applyFont="1" applyFill="1" applyBorder="1" applyProtection="1"/>
    <xf numFmtId="186" fontId="2" fillId="0" borderId="1" xfId="0" applyNumberFormat="1" applyFont="1" applyFill="1" applyBorder="1" applyProtection="1"/>
    <xf numFmtId="186" fontId="2" fillId="0" borderId="2" xfId="0" applyNumberFormat="1" applyFont="1" applyFill="1" applyBorder="1" applyProtection="1"/>
    <xf numFmtId="0" fontId="12" fillId="0" borderId="0" xfId="0" applyFont="1" applyFill="1" applyBorder="1" applyAlignment="1" applyProtection="1">
      <alignment horizontal="left"/>
    </xf>
    <xf numFmtId="0" fontId="35" fillId="0" borderId="0" xfId="0" applyFont="1" applyFill="1" applyBorder="1" applyAlignment="1" applyProtection="1">
      <alignment horizontal="center"/>
    </xf>
    <xf numFmtId="0" fontId="0" fillId="0" borderId="6" xfId="0" applyBorder="1" applyProtection="1"/>
    <xf numFmtId="0" fontId="3" fillId="0" borderId="0" xfId="0" applyFont="1" applyAlignment="1" applyProtection="1">
      <alignment horizontal="left"/>
    </xf>
    <xf numFmtId="0" fontId="0" fillId="0" borderId="5" xfId="0" applyBorder="1" applyAlignment="1" applyProtection="1"/>
    <xf numFmtId="0" fontId="2" fillId="0" borderId="4" xfId="0" applyFont="1" applyBorder="1" applyAlignment="1" applyProtection="1">
      <alignment horizontal="right"/>
    </xf>
    <xf numFmtId="0" fontId="9" fillId="0" borderId="10" xfId="0" applyFont="1" applyFill="1" applyBorder="1" applyAlignment="1" applyProtection="1">
      <alignment horizontal="left"/>
    </xf>
    <xf numFmtId="0" fontId="23" fillId="4" borderId="22" xfId="0" applyFont="1" applyFill="1" applyBorder="1" applyAlignment="1" applyProtection="1">
      <alignment vertical="center"/>
    </xf>
    <xf numFmtId="0" fontId="2" fillId="0" borderId="6" xfId="0" applyFont="1" applyBorder="1" applyAlignment="1" applyProtection="1">
      <alignment horizontal="center"/>
    </xf>
    <xf numFmtId="0" fontId="2" fillId="0" borderId="10" xfId="0" applyFont="1" applyBorder="1" applyProtection="1"/>
    <xf numFmtId="179" fontId="9" fillId="0" borderId="0" xfId="0" applyNumberFormat="1" applyFont="1" applyFill="1" applyProtection="1">
      <protection locked="0" hidden="1"/>
    </xf>
    <xf numFmtId="0" fontId="9" fillId="0" borderId="0" xfId="0" applyFont="1" applyFill="1" applyAlignment="1" applyProtection="1">
      <alignment horizontal="center"/>
      <protection locked="0" hidden="1"/>
    </xf>
    <xf numFmtId="0" fontId="9" fillId="0" borderId="41" xfId="0" applyFont="1" applyFill="1" applyBorder="1" applyProtection="1">
      <protection locked="0"/>
    </xf>
    <xf numFmtId="0" fontId="9" fillId="0" borderId="0" xfId="0" applyFont="1" applyFill="1" applyBorder="1" applyProtection="1">
      <protection locked="0"/>
    </xf>
    <xf numFmtId="0" fontId="9" fillId="0" borderId="32" xfId="0" applyFont="1" applyFill="1" applyBorder="1" applyProtection="1">
      <protection locked="0"/>
    </xf>
    <xf numFmtId="0" fontId="9" fillId="0" borderId="18" xfId="0" applyFont="1" applyFill="1" applyBorder="1" applyProtection="1">
      <protection locked="0"/>
    </xf>
    <xf numFmtId="0" fontId="9" fillId="0" borderId="29" xfId="0" applyFont="1" applyFill="1" applyBorder="1" applyProtection="1">
      <protection locked="0"/>
    </xf>
    <xf numFmtId="0" fontId="33" fillId="0" borderId="0" xfId="0" applyFont="1" applyFill="1" applyBorder="1" applyProtection="1">
      <protection locked="0"/>
    </xf>
    <xf numFmtId="0" fontId="9" fillId="0" borderId="30" xfId="0" applyFont="1" applyFill="1" applyBorder="1" applyProtection="1">
      <protection locked="0"/>
    </xf>
    <xf numFmtId="0" fontId="9" fillId="0" borderId="18" xfId="0" applyFont="1" applyFill="1" applyBorder="1" applyAlignment="1" applyProtection="1">
      <alignment horizontal="right"/>
      <protection locked="0"/>
    </xf>
    <xf numFmtId="0" fontId="9" fillId="0" borderId="28" xfId="0" applyFont="1" applyFill="1" applyBorder="1" applyProtection="1">
      <protection locked="0"/>
    </xf>
    <xf numFmtId="0" fontId="33" fillId="0" borderId="0" xfId="0" applyFont="1" applyBorder="1" applyProtection="1">
      <protection locked="0" hidden="1"/>
    </xf>
    <xf numFmtId="0" fontId="9" fillId="0" borderId="31" xfId="0" applyFont="1" applyBorder="1" applyAlignment="1" applyProtection="1">
      <alignment horizontal="right"/>
      <protection locked="0" hidden="1"/>
    </xf>
    <xf numFmtId="167" fontId="9" fillId="0" borderId="13" xfId="0" applyNumberFormat="1" applyFont="1" applyBorder="1" applyProtection="1">
      <protection locked="0" hidden="1"/>
    </xf>
    <xf numFmtId="0" fontId="9" fillId="0" borderId="13" xfId="0" applyFont="1" applyBorder="1" applyProtection="1">
      <protection locked="0" hidden="1"/>
    </xf>
    <xf numFmtId="0" fontId="9" fillId="0" borderId="40" xfId="0" applyFont="1" applyBorder="1" applyProtection="1">
      <protection locked="0" hidden="1"/>
    </xf>
    <xf numFmtId="0" fontId="0" fillId="0" borderId="30" xfId="0" applyBorder="1" applyProtection="1">
      <protection locked="0"/>
    </xf>
    <xf numFmtId="0" fontId="9" fillId="0" borderId="29" xfId="0" applyFont="1" applyBorder="1" applyProtection="1">
      <protection locked="0" hidden="1"/>
    </xf>
    <xf numFmtId="0" fontId="9" fillId="0" borderId="32" xfId="0" applyFont="1" applyBorder="1" applyProtection="1">
      <protection locked="0" hidden="1"/>
    </xf>
    <xf numFmtId="0" fontId="9" fillId="0" borderId="18" xfId="0" applyFont="1" applyBorder="1" applyProtection="1">
      <protection locked="0" hidden="1"/>
    </xf>
    <xf numFmtId="0" fontId="9" fillId="0" borderId="0" xfId="0" applyFont="1" applyAlignment="1" applyProtection="1">
      <alignment horizontal="right"/>
      <protection locked="0" hidden="1"/>
    </xf>
    <xf numFmtId="174" fontId="9" fillId="0" borderId="0" xfId="0" applyNumberFormat="1" applyFont="1" applyProtection="1">
      <protection locked="0" hidden="1"/>
    </xf>
    <xf numFmtId="0" fontId="9" fillId="0" borderId="41" xfId="0" applyFont="1" applyBorder="1" applyProtection="1">
      <protection locked="0" hidden="1"/>
    </xf>
    <xf numFmtId="0" fontId="9" fillId="0" borderId="0" xfId="0" applyFont="1" applyBorder="1" applyAlignment="1" applyProtection="1">
      <alignment horizontal="right"/>
      <protection locked="0" hidden="1"/>
    </xf>
    <xf numFmtId="167" fontId="9" fillId="0" borderId="0" xfId="0" applyNumberFormat="1" applyFont="1" applyBorder="1" applyProtection="1">
      <protection locked="0" hidden="1"/>
    </xf>
    <xf numFmtId="169" fontId="9" fillId="0" borderId="0" xfId="0" applyNumberFormat="1" applyFont="1" applyBorder="1" applyProtection="1">
      <protection locked="0" hidden="1"/>
    </xf>
    <xf numFmtId="0" fontId="9" fillId="0" borderId="31" xfId="0" applyFont="1" applyBorder="1" applyProtection="1">
      <protection locked="0" hidden="1"/>
    </xf>
    <xf numFmtId="0" fontId="0" fillId="0" borderId="0" xfId="0" applyProtection="1">
      <protection locked="0"/>
    </xf>
    <xf numFmtId="0" fontId="0" fillId="0" borderId="13" xfId="0" applyBorder="1" applyProtection="1">
      <protection locked="0"/>
    </xf>
    <xf numFmtId="0" fontId="9" fillId="0" borderId="30" xfId="0" applyFont="1" applyBorder="1" applyProtection="1">
      <protection locked="0" hidden="1"/>
    </xf>
    <xf numFmtId="0" fontId="9" fillId="0" borderId="0" xfId="0" applyFont="1" applyProtection="1">
      <protection locked="0"/>
    </xf>
    <xf numFmtId="0" fontId="9" fillId="0" borderId="31" xfId="0" applyFont="1" applyBorder="1" applyProtection="1">
      <protection locked="0"/>
    </xf>
    <xf numFmtId="0" fontId="9" fillId="0" borderId="40" xfId="0" applyFont="1" applyBorder="1" applyProtection="1">
      <protection locked="0"/>
    </xf>
    <xf numFmtId="0" fontId="9" fillId="0" borderId="29" xfId="0" applyFont="1" applyBorder="1" applyProtection="1">
      <protection locked="0"/>
    </xf>
    <xf numFmtId="0" fontId="9" fillId="0" borderId="0" xfId="0" applyFont="1" applyBorder="1" applyProtection="1">
      <protection locked="0"/>
    </xf>
    <xf numFmtId="0" fontId="0" fillId="0" borderId="33" xfId="0" applyBorder="1" applyProtection="1">
      <protection locked="0"/>
    </xf>
    <xf numFmtId="181" fontId="0" fillId="0" borderId="33" xfId="0" applyNumberFormat="1" applyBorder="1" applyProtection="1">
      <protection locked="0"/>
    </xf>
    <xf numFmtId="181" fontId="0" fillId="0" borderId="17" xfId="0" applyNumberFormat="1" applyBorder="1" applyProtection="1">
      <protection locked="0"/>
    </xf>
    <xf numFmtId="0" fontId="0" fillId="0" borderId="47" xfId="0" applyBorder="1" applyProtection="1">
      <protection locked="0"/>
    </xf>
    <xf numFmtId="181" fontId="0" fillId="0" borderId="47" xfId="0" applyNumberFormat="1" applyBorder="1" applyProtection="1">
      <protection locked="0"/>
    </xf>
    <xf numFmtId="181" fontId="0" fillId="0" borderId="36" xfId="0" applyNumberFormat="1" applyBorder="1" applyProtection="1">
      <protection locked="0"/>
    </xf>
    <xf numFmtId="181" fontId="0" fillId="0" borderId="3" xfId="0" applyNumberFormat="1" applyBorder="1" applyProtection="1">
      <protection locked="0"/>
    </xf>
    <xf numFmtId="0" fontId="0" fillId="0" borderId="32" xfId="0" applyBorder="1" applyProtection="1">
      <protection locked="0"/>
    </xf>
    <xf numFmtId="0" fontId="0" fillId="0" borderId="41" xfId="0" applyBorder="1" applyProtection="1">
      <protection locked="0"/>
    </xf>
    <xf numFmtId="0" fontId="0" fillId="0" borderId="18" xfId="0" applyBorder="1" applyProtection="1">
      <protection locked="0"/>
    </xf>
    <xf numFmtId="0" fontId="0" fillId="0" borderId="40" xfId="0" applyBorder="1" applyProtection="1">
      <protection locked="0"/>
    </xf>
    <xf numFmtId="0" fontId="9" fillId="0" borderId="32" xfId="0" applyFont="1" applyBorder="1" applyProtection="1">
      <protection locked="0"/>
    </xf>
    <xf numFmtId="0" fontId="0" fillId="0" borderId="0" xfId="0" applyBorder="1" applyProtection="1">
      <protection locked="0"/>
    </xf>
    <xf numFmtId="0" fontId="0" fillId="0" borderId="36" xfId="0" applyBorder="1" applyProtection="1">
      <protection locked="0"/>
    </xf>
    <xf numFmtId="181" fontId="0" fillId="0" borderId="48" xfId="0" applyNumberFormat="1" applyBorder="1" applyProtection="1">
      <protection locked="0"/>
    </xf>
    <xf numFmtId="0" fontId="0" fillId="0" borderId="1" xfId="0" applyFill="1" applyBorder="1" applyProtection="1">
      <protection locked="0"/>
    </xf>
    <xf numFmtId="181" fontId="0" fillId="0" borderId="1" xfId="0" applyNumberFormat="1" applyFill="1" applyBorder="1" applyProtection="1">
      <protection locked="0"/>
    </xf>
    <xf numFmtId="181" fontId="0" fillId="0" borderId="22" xfId="0" applyNumberFormat="1" applyBorder="1" applyProtection="1">
      <protection locked="0"/>
    </xf>
    <xf numFmtId="181" fontId="0" fillId="0" borderId="11" xfId="0" applyNumberFormat="1" applyBorder="1" applyProtection="1">
      <protection locked="0"/>
    </xf>
    <xf numFmtId="181" fontId="35" fillId="0" borderId="12" xfId="0" applyNumberFormat="1" applyFont="1" applyBorder="1" applyProtection="1">
      <protection locked="0"/>
    </xf>
    <xf numFmtId="0" fontId="0" fillId="0" borderId="0" xfId="0" applyFill="1" applyProtection="1">
      <protection locked="0"/>
    </xf>
    <xf numFmtId="0" fontId="31" fillId="0" borderId="0" xfId="0" applyFont="1" applyBorder="1" applyAlignment="1" applyProtection="1">
      <alignment horizontal="left"/>
    </xf>
    <xf numFmtId="0" fontId="31" fillId="0" borderId="0" xfId="0" applyFont="1" applyBorder="1" applyAlignment="1" applyProtection="1">
      <alignment horizontal="right"/>
    </xf>
    <xf numFmtId="167" fontId="31" fillId="0" borderId="0" xfId="0" applyNumberFormat="1" applyFont="1" applyFill="1" applyBorder="1" applyAlignment="1" applyProtection="1">
      <alignment horizontal="center" vertical="center"/>
    </xf>
    <xf numFmtId="0" fontId="33" fillId="0" borderId="0" xfId="0" applyFont="1" applyBorder="1" applyProtection="1"/>
    <xf numFmtId="0" fontId="33" fillId="0" borderId="5" xfId="0" applyFont="1" applyBorder="1" applyProtection="1"/>
    <xf numFmtId="0" fontId="30" fillId="0" borderId="5" xfId="0" applyFont="1" applyBorder="1"/>
    <xf numFmtId="0" fontId="2" fillId="0" borderId="0" xfId="0" applyFont="1" applyBorder="1" applyAlignment="1">
      <alignment vertical="center" wrapText="1"/>
    </xf>
    <xf numFmtId="0" fontId="2" fillId="0" borderId="5" xfId="0" applyFont="1" applyBorder="1" applyAlignment="1">
      <alignment vertical="center" wrapText="1"/>
    </xf>
    <xf numFmtId="0" fontId="0" fillId="0" borderId="39" xfId="0" applyFill="1" applyBorder="1"/>
    <xf numFmtId="0" fontId="0" fillId="0" borderId="4" xfId="0" applyFill="1" applyBorder="1"/>
    <xf numFmtId="0" fontId="36" fillId="6" borderId="6" xfId="0" applyFont="1" applyFill="1" applyBorder="1" applyAlignment="1">
      <alignment vertical="center"/>
    </xf>
    <xf numFmtId="0" fontId="36" fillId="6" borderId="7" xfId="0" applyFont="1" applyFill="1" applyBorder="1" applyAlignment="1">
      <alignment vertical="center"/>
    </xf>
    <xf numFmtId="0" fontId="30" fillId="0" borderId="4" xfId="0" applyFont="1" applyBorder="1" applyAlignment="1">
      <alignment horizontal="right"/>
    </xf>
    <xf numFmtId="0" fontId="36" fillId="6" borderId="10" xfId="0" applyFont="1" applyFill="1" applyBorder="1" applyAlignment="1">
      <alignment vertical="center"/>
    </xf>
    <xf numFmtId="0" fontId="35" fillId="0" borderId="0" xfId="0" applyFont="1" applyBorder="1" applyAlignment="1" applyProtection="1">
      <alignment horizontal="center"/>
    </xf>
    <xf numFmtId="181" fontId="0" fillId="0" borderId="0" xfId="0" applyNumberFormat="1" applyBorder="1" applyProtection="1"/>
    <xf numFmtId="0" fontId="12" fillId="0" borderId="4" xfId="0" applyFont="1" applyFill="1" applyBorder="1" applyAlignment="1" applyProtection="1">
      <alignment horizontal="left"/>
    </xf>
    <xf numFmtId="0" fontId="22" fillId="0" borderId="0" xfId="0" applyFont="1" applyAlignment="1" applyProtection="1">
      <alignment horizontal="left"/>
    </xf>
    <xf numFmtId="0" fontId="2" fillId="0" borderId="0" xfId="0" applyFont="1" applyFill="1" applyBorder="1" applyProtection="1">
      <protection locked="0"/>
    </xf>
    <xf numFmtId="166" fontId="43" fillId="0" borderId="0" xfId="0" applyNumberFormat="1" applyFont="1" applyBorder="1" applyAlignment="1" applyProtection="1">
      <alignment horizontal="right"/>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30" fillId="3" borderId="6" xfId="0" applyFont="1" applyFill="1" applyBorder="1" applyAlignment="1" applyProtection="1">
      <alignment horizontal="left" vertical="center"/>
    </xf>
    <xf numFmtId="0" fontId="30" fillId="3" borderId="7" xfId="0" applyFont="1" applyFill="1" applyBorder="1" applyAlignment="1" applyProtection="1">
      <alignment horizontal="left" vertical="center"/>
    </xf>
    <xf numFmtId="2" fontId="9" fillId="0" borderId="0" xfId="0" applyNumberFormat="1" applyFont="1" applyFill="1" applyBorder="1" applyAlignment="1" applyProtection="1">
      <alignment horizontal="right"/>
      <protection locked="0" hidden="1"/>
    </xf>
    <xf numFmtId="186" fontId="12" fillId="0" borderId="5" xfId="0" applyNumberFormat="1" applyFont="1" applyFill="1" applyBorder="1" applyAlignment="1" applyProtection="1">
      <alignment horizontal="center" vertical="center" wrapText="1"/>
    </xf>
    <xf numFmtId="186" fontId="12" fillId="0" borderId="0" xfId="0" applyNumberFormat="1" applyFont="1" applyFill="1" applyBorder="1" applyAlignment="1" applyProtection="1">
      <alignment horizontal="center" vertical="center" wrapText="1"/>
    </xf>
    <xf numFmtId="0" fontId="30" fillId="3" borderId="6" xfId="0" applyFont="1" applyFill="1" applyBorder="1" applyAlignment="1">
      <alignment horizontal="left" vertical="top"/>
    </xf>
    <xf numFmtId="0" fontId="2" fillId="3" borderId="7" xfId="0" applyFont="1" applyFill="1" applyBorder="1" applyAlignment="1">
      <alignment vertical="top"/>
    </xf>
    <xf numFmtId="0" fontId="30" fillId="0" borderId="6" xfId="0" applyFont="1" applyFill="1" applyBorder="1" applyAlignment="1" applyProtection="1">
      <alignment horizontal="left" vertical="center"/>
    </xf>
    <xf numFmtId="0" fontId="30" fillId="0" borderId="7" xfId="0" applyFont="1" applyFill="1" applyBorder="1" applyAlignment="1" applyProtection="1">
      <alignment horizontal="left" vertical="center"/>
    </xf>
    <xf numFmtId="0" fontId="23" fillId="0" borderId="7" xfId="0" applyFont="1" applyFill="1" applyBorder="1" applyAlignment="1" applyProtection="1">
      <alignment horizontal="center" vertical="center"/>
    </xf>
    <xf numFmtId="0" fontId="30" fillId="0" borderId="9"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23" fillId="0" borderId="1" xfId="0" applyFont="1" applyFill="1" applyBorder="1" applyAlignment="1" applyProtection="1">
      <alignment horizontal="center" vertical="center"/>
    </xf>
    <xf numFmtId="0" fontId="30" fillId="0" borderId="2" xfId="0" applyFont="1" applyFill="1" applyBorder="1" applyAlignment="1" applyProtection="1">
      <alignment horizontal="right" vertical="center"/>
    </xf>
    <xf numFmtId="0" fontId="30" fillId="0" borderId="10" xfId="0" applyFont="1" applyFill="1" applyBorder="1" applyAlignment="1" applyProtection="1">
      <alignment horizontal="right" vertical="center"/>
    </xf>
    <xf numFmtId="0" fontId="30" fillId="0" borderId="24" xfId="0" applyFont="1" applyFill="1" applyBorder="1" applyAlignment="1" applyProtection="1">
      <alignment horizontal="left" vertical="center"/>
    </xf>
    <xf numFmtId="0" fontId="30" fillId="0" borderId="18" xfId="0" applyFont="1" applyFill="1" applyBorder="1" applyAlignment="1" applyProtection="1">
      <alignment horizontal="left" vertical="center"/>
    </xf>
    <xf numFmtId="0" fontId="30" fillId="0" borderId="23" xfId="0" applyFont="1" applyFill="1" applyBorder="1" applyAlignment="1" applyProtection="1">
      <alignment horizontal="left" vertical="center"/>
    </xf>
    <xf numFmtId="0" fontId="30" fillId="0" borderId="19"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3" fillId="3" borderId="7" xfId="0" applyFont="1" applyFill="1" applyBorder="1" applyAlignment="1" applyProtection="1">
      <alignment horizontal="left" vertical="center"/>
    </xf>
    <xf numFmtId="0" fontId="0" fillId="0" borderId="9" xfId="0" applyBorder="1"/>
    <xf numFmtId="0" fontId="0" fillId="0" borderId="2" xfId="0" applyBorder="1"/>
    <xf numFmtId="0" fontId="0" fillId="0" borderId="43" xfId="0" applyBorder="1" applyProtection="1"/>
    <xf numFmtId="185" fontId="0" fillId="5" borderId="35" xfId="0" applyNumberFormat="1" applyFill="1" applyBorder="1" applyProtection="1">
      <protection locked="0"/>
    </xf>
    <xf numFmtId="0" fontId="12" fillId="0" borderId="26" xfId="0" applyFont="1" applyFill="1" applyBorder="1" applyAlignment="1" applyProtection="1">
      <alignment horizontal="left" vertical="center"/>
    </xf>
    <xf numFmtId="185" fontId="0" fillId="5" borderId="51" xfId="0" applyNumberFormat="1" applyFill="1" applyBorder="1" applyProtection="1">
      <protection locked="0"/>
    </xf>
    <xf numFmtId="0" fontId="12" fillId="0" borderId="34" xfId="0" applyFont="1" applyFill="1" applyBorder="1" applyAlignment="1" applyProtection="1">
      <alignment horizontal="left" vertical="center"/>
    </xf>
    <xf numFmtId="0" fontId="2" fillId="0" borderId="18" xfId="0" applyFont="1" applyFill="1" applyBorder="1" applyAlignment="1" applyProtection="1">
      <alignment vertical="center"/>
    </xf>
    <xf numFmtId="0" fontId="2" fillId="0" borderId="20"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18"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2" fillId="0" borderId="5" xfId="0" applyFont="1" applyFill="1" applyBorder="1" applyAlignment="1" applyProtection="1">
      <alignment vertical="center"/>
    </xf>
    <xf numFmtId="0" fontId="2" fillId="0" borderId="0" xfId="0" applyFont="1" applyFill="1" applyBorder="1" applyAlignment="1" applyProtection="1">
      <alignment horizontal="left" vertical="center"/>
    </xf>
    <xf numFmtId="0" fontId="33" fillId="0" borderId="0" xfId="0" applyFont="1"/>
    <xf numFmtId="0" fontId="33" fillId="0" borderId="0" xfId="0" applyFont="1" applyProtection="1">
      <protection locked="0"/>
    </xf>
    <xf numFmtId="0" fontId="46" fillId="0" borderId="0" xfId="0" applyFont="1" applyBorder="1" applyProtection="1"/>
    <xf numFmtId="0" fontId="33" fillId="0" borderId="0" xfId="0" applyFont="1" applyBorder="1" applyAlignment="1" applyProtection="1">
      <alignment horizontal="center"/>
    </xf>
    <xf numFmtId="186" fontId="33" fillId="0" borderId="0" xfId="0" applyNumberFormat="1" applyFont="1" applyBorder="1" applyProtection="1"/>
    <xf numFmtId="0" fontId="33" fillId="0" borderId="0" xfId="0" applyFont="1" applyBorder="1" applyProtection="1">
      <protection locked="0"/>
    </xf>
    <xf numFmtId="0" fontId="33" fillId="0" borderId="0" xfId="0" applyFont="1" applyBorder="1"/>
    <xf numFmtId="0" fontId="0" fillId="0" borderId="9" xfId="0" applyBorder="1" applyProtection="1">
      <protection locked="0"/>
    </xf>
    <xf numFmtId="0" fontId="9" fillId="0" borderId="0" xfId="0" applyFont="1" applyFill="1" applyBorder="1"/>
    <xf numFmtId="0" fontId="30" fillId="0" borderId="24" xfId="0" applyFont="1" applyBorder="1" applyAlignment="1">
      <alignment horizontal="left" vertical="center" wrapText="1"/>
    </xf>
    <xf numFmtId="0" fontId="30" fillId="0" borderId="18" xfId="0" applyFont="1" applyBorder="1"/>
    <xf numFmtId="0" fontId="9" fillId="0" borderId="20" xfId="0" applyFont="1" applyBorder="1" applyAlignment="1">
      <alignment horizontal="left" vertical="center" wrapText="1"/>
    </xf>
    <xf numFmtId="0" fontId="0" fillId="0" borderId="52" xfId="0" applyBorder="1" applyProtection="1">
      <protection locked="0" hidden="1"/>
    </xf>
    <xf numFmtId="0" fontId="34" fillId="0" borderId="13" xfId="0" applyFont="1" applyBorder="1" applyProtection="1">
      <protection hidden="1"/>
    </xf>
    <xf numFmtId="0" fontId="47" fillId="0" borderId="13" xfId="0" applyFont="1" applyFill="1" applyBorder="1" applyProtection="1">
      <protection locked="0" hidden="1"/>
    </xf>
    <xf numFmtId="0" fontId="48" fillId="0" borderId="18" xfId="0" applyFont="1" applyBorder="1"/>
    <xf numFmtId="0" fontId="47" fillId="0" borderId="18" xfId="0" applyFont="1" applyFill="1" applyBorder="1" applyProtection="1">
      <protection locked="0" hidden="1"/>
    </xf>
    <xf numFmtId="0" fontId="9" fillId="0" borderId="4" xfId="0" applyFont="1" applyBorder="1" applyAlignment="1" applyProtection="1">
      <alignment horizontal="left"/>
    </xf>
    <xf numFmtId="0" fontId="0" fillId="0" borderId="0" xfId="0" applyBorder="1" applyAlignment="1" applyProtection="1">
      <alignment horizontal="left"/>
    </xf>
    <xf numFmtId="0" fontId="3" fillId="0" borderId="4" xfId="0" applyFont="1" applyBorder="1" applyAlignment="1" applyProtection="1">
      <alignment horizontal="left"/>
    </xf>
    <xf numFmtId="187" fontId="2" fillId="5" borderId="28" xfId="0" applyNumberFormat="1" applyFont="1" applyFill="1" applyBorder="1" applyAlignment="1" applyProtection="1">
      <alignment vertical="center"/>
      <protection locked="0"/>
    </xf>
    <xf numFmtId="188" fontId="9" fillId="0" borderId="0" xfId="0" applyNumberFormat="1" applyFont="1" applyFill="1" applyProtection="1">
      <protection locked="0" hidden="1"/>
    </xf>
    <xf numFmtId="0" fontId="29" fillId="0" borderId="0" xfId="0" applyFont="1" applyBorder="1"/>
    <xf numFmtId="0" fontId="50" fillId="0" borderId="0" xfId="0" applyFont="1" applyFill="1" applyBorder="1" applyProtection="1">
      <protection locked="0" hidden="1"/>
    </xf>
    <xf numFmtId="0" fontId="0" fillId="3" borderId="10" xfId="0" applyFill="1" applyBorder="1"/>
    <xf numFmtId="0" fontId="30" fillId="3" borderId="7" xfId="0" applyFont="1" applyFill="1" applyBorder="1" applyAlignment="1" applyProtection="1">
      <alignment vertical="center"/>
    </xf>
    <xf numFmtId="0" fontId="0" fillId="3" borderId="10" xfId="0" applyFill="1" applyBorder="1" applyProtection="1"/>
    <xf numFmtId="0" fontId="9" fillId="0" borderId="41" xfId="0" applyFont="1" applyBorder="1" applyProtection="1">
      <protection locked="0"/>
    </xf>
    <xf numFmtId="2" fontId="34" fillId="0" borderId="32" xfId="0" applyNumberFormat="1" applyFont="1" applyBorder="1" applyProtection="1">
      <protection hidden="1"/>
    </xf>
    <xf numFmtId="178" fontId="34" fillId="0" borderId="31" xfId="0" applyNumberFormat="1" applyFont="1" applyBorder="1" applyProtection="1">
      <protection hidden="1"/>
    </xf>
    <xf numFmtId="1" fontId="51" fillId="0" borderId="18" xfId="0" applyNumberFormat="1" applyFont="1" applyBorder="1" applyProtection="1">
      <protection hidden="1"/>
    </xf>
    <xf numFmtId="0" fontId="52" fillId="0" borderId="0" xfId="0" applyFont="1" applyAlignment="1" applyProtection="1">
      <alignment horizontal="center"/>
    </xf>
    <xf numFmtId="0" fontId="52" fillId="0" borderId="14" xfId="0" applyFont="1" applyBorder="1" applyAlignment="1" applyProtection="1">
      <alignment horizontal="center"/>
    </xf>
    <xf numFmtId="0" fontId="2" fillId="0" borderId="0" xfId="0" applyFont="1" applyBorder="1" applyAlignment="1">
      <alignment horizontal="right"/>
    </xf>
    <xf numFmtId="0" fontId="2" fillId="0" borderId="13" xfId="0" applyFont="1" applyFill="1" applyBorder="1" applyAlignment="1" applyProtection="1">
      <alignment horizontal="left"/>
      <protection locked="0"/>
    </xf>
    <xf numFmtId="0" fontId="2" fillId="0" borderId="14"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9" fillId="0" borderId="4" xfId="0" applyFont="1" applyBorder="1" applyAlignment="1"/>
    <xf numFmtId="0" fontId="25" fillId="0" borderId="0" xfId="0" applyFont="1" applyBorder="1" applyAlignment="1">
      <alignment horizontal="right"/>
    </xf>
    <xf numFmtId="164" fontId="43" fillId="0" borderId="0" xfId="0" applyNumberFormat="1" applyFont="1" applyFill="1" applyBorder="1" applyAlignment="1" applyProtection="1">
      <alignment horizontal="right"/>
    </xf>
    <xf numFmtId="0" fontId="43" fillId="0" borderId="18" xfId="0" applyFont="1" applyBorder="1" applyAlignment="1">
      <alignment horizontal="left"/>
    </xf>
    <xf numFmtId="189" fontId="25" fillId="0" borderId="5" xfId="0" applyNumberFormat="1" applyFont="1" applyBorder="1" applyAlignment="1">
      <alignment horizontal="left"/>
    </xf>
    <xf numFmtId="0" fontId="0" fillId="0" borderId="5" xfId="0" applyFill="1" applyBorder="1" applyAlignment="1" applyProtection="1">
      <protection locked="0"/>
    </xf>
    <xf numFmtId="0" fontId="0" fillId="0" borderId="0" xfId="0" applyFill="1" applyBorder="1" applyAlignment="1" applyProtection="1">
      <protection locked="0"/>
    </xf>
    <xf numFmtId="0" fontId="43" fillId="0" borderId="0" xfId="0" applyFont="1" applyBorder="1" applyAlignment="1">
      <alignment horizontal="lef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2" fillId="0" borderId="0" xfId="0" applyFont="1" applyBorder="1" applyAlignment="1" applyProtection="1">
      <alignment horizontal="left"/>
    </xf>
    <xf numFmtId="0" fontId="9" fillId="0" borderId="0" xfId="0" applyFont="1" applyFill="1" applyBorder="1" applyAlignment="1" applyProtection="1">
      <alignment horizontal="left"/>
    </xf>
    <xf numFmtId="0" fontId="4" fillId="0" borderId="5" xfId="0" applyFont="1" applyFill="1" applyBorder="1" applyAlignment="1" applyProtection="1">
      <alignment horizontal="left"/>
    </xf>
    <xf numFmtId="0" fontId="2" fillId="0" borderId="0" xfId="0" applyFont="1" applyBorder="1" applyAlignment="1">
      <alignment horizontal="center"/>
    </xf>
    <xf numFmtId="0" fontId="2" fillId="0" borderId="0" xfId="0" applyFont="1" applyBorder="1" applyAlignment="1" applyProtection="1">
      <alignment horizontal="center"/>
    </xf>
    <xf numFmtId="0" fontId="22" fillId="0" borderId="18" xfId="0" applyFont="1" applyBorder="1" applyAlignment="1">
      <alignment horizontal="left"/>
    </xf>
    <xf numFmtId="0" fontId="2" fillId="0" borderId="0" xfId="0" applyFont="1" applyBorder="1" applyAlignment="1">
      <alignment horizontal="right"/>
    </xf>
    <xf numFmtId="0" fontId="9" fillId="0" borderId="0" xfId="0" applyFont="1" applyBorder="1" applyAlignment="1">
      <alignment horizontal="right"/>
    </xf>
    <xf numFmtId="0" fontId="0" fillId="0" borderId="0" xfId="0" applyBorder="1" applyAlignment="1" applyProtection="1">
      <alignment horizontal="left"/>
    </xf>
    <xf numFmtId="0" fontId="9" fillId="0" borderId="0" xfId="0" applyFont="1" applyFill="1" applyBorder="1" applyProtection="1">
      <protection hidden="1"/>
    </xf>
    <xf numFmtId="0" fontId="4" fillId="0" borderId="0" xfId="0" applyFont="1" applyFill="1" applyBorder="1" applyAlignment="1" applyProtection="1">
      <alignment horizontal="center"/>
    </xf>
    <xf numFmtId="0" fontId="30" fillId="3" borderId="7" xfId="0" applyFont="1" applyFill="1" applyBorder="1" applyAlignment="1" applyProtection="1">
      <alignment horizontal="left" vertical="center"/>
    </xf>
    <xf numFmtId="0" fontId="2" fillId="0" borderId="23" xfId="0" applyFont="1" applyBorder="1" applyAlignment="1" applyProtection="1">
      <alignment vertical="top"/>
    </xf>
    <xf numFmtId="0" fontId="33" fillId="0" borderId="30" xfId="0" applyFont="1" applyFill="1" applyBorder="1" applyProtection="1">
      <protection locked="0" hidden="1"/>
    </xf>
    <xf numFmtId="167" fontId="9" fillId="0" borderId="0" xfId="0" applyNumberFormat="1" applyFont="1" applyFill="1" applyBorder="1" applyProtection="1">
      <protection locked="0" hidden="1"/>
    </xf>
    <xf numFmtId="168" fontId="28" fillId="0" borderId="5" xfId="0" applyNumberFormat="1" applyFont="1" applyFill="1" applyBorder="1" applyAlignment="1">
      <alignment horizontal="right"/>
    </xf>
    <xf numFmtId="0" fontId="53" fillId="0" borderId="13" xfId="0" applyFont="1" applyFill="1" applyBorder="1" applyAlignment="1">
      <alignment horizontal="left"/>
    </xf>
    <xf numFmtId="179" fontId="2" fillId="0" borderId="28" xfId="0" applyNumberFormat="1" applyFont="1" applyFill="1" applyBorder="1" applyAlignment="1" applyProtection="1">
      <alignment vertical="center"/>
    </xf>
    <xf numFmtId="187" fontId="2" fillId="0" borderId="28" xfId="0" applyNumberFormat="1" applyFont="1" applyFill="1" applyBorder="1" applyAlignment="1" applyProtection="1">
      <alignment vertical="center"/>
    </xf>
    <xf numFmtId="4" fontId="2" fillId="0" borderId="28" xfId="0" applyNumberFormat="1" applyFont="1" applyFill="1" applyBorder="1" applyAlignment="1" applyProtection="1">
      <alignment vertical="center"/>
    </xf>
    <xf numFmtId="178" fontId="2" fillId="0" borderId="28" xfId="0" applyNumberFormat="1" applyFont="1" applyFill="1" applyBorder="1" applyAlignment="1" applyProtection="1">
      <alignment vertical="center"/>
    </xf>
    <xf numFmtId="170" fontId="2" fillId="0" borderId="28" xfId="0" applyNumberFormat="1" applyFont="1" applyFill="1" applyBorder="1" applyAlignment="1" applyProtection="1">
      <alignment vertical="center"/>
    </xf>
    <xf numFmtId="0" fontId="2" fillId="0" borderId="28" xfId="0" applyFont="1" applyFill="1" applyBorder="1" applyProtection="1"/>
    <xf numFmtId="164" fontId="9" fillId="0" borderId="28" xfId="0" applyNumberFormat="1" applyFont="1" applyFill="1" applyBorder="1" applyProtection="1"/>
    <xf numFmtId="49" fontId="12" fillId="0" borderId="0" xfId="0" applyNumberFormat="1" applyFont="1" applyFill="1" applyBorder="1" applyAlignment="1">
      <alignment horizontal="center" vertical="center"/>
    </xf>
    <xf numFmtId="0" fontId="12" fillId="0" borderId="0" xfId="0" applyFont="1" applyFill="1" applyBorder="1" applyAlignment="1"/>
    <xf numFmtId="0" fontId="30" fillId="3" borderId="7" xfId="0" applyFont="1" applyFill="1" applyBorder="1" applyAlignment="1" applyProtection="1">
      <alignment horizontal="center" vertical="center"/>
    </xf>
    <xf numFmtId="0" fontId="30" fillId="3" borderId="7" xfId="0" applyFont="1" applyFill="1" applyBorder="1" applyAlignment="1">
      <alignment horizontal="left" vertical="top"/>
    </xf>
    <xf numFmtId="0" fontId="30" fillId="6" borderId="7" xfId="0" applyFont="1" applyFill="1" applyBorder="1" applyAlignment="1">
      <alignment horizontal="left" vertical="center"/>
    </xf>
    <xf numFmtId="0" fontId="3" fillId="0" borderId="0" xfId="0" applyFont="1" applyBorder="1" applyAlignment="1" applyProtection="1">
      <alignment horizontal="left"/>
    </xf>
    <xf numFmtId="0" fontId="23" fillId="3" borderId="22" xfId="0" applyFont="1" applyFill="1" applyBorder="1" applyAlignment="1">
      <alignment horizontal="center" vertical="center"/>
    </xf>
    <xf numFmtId="0" fontId="5" fillId="2" borderId="33" xfId="0" applyNumberFormat="1" applyFont="1" applyFill="1" applyBorder="1" applyAlignment="1">
      <alignment horizontal="center" vertical="center"/>
    </xf>
    <xf numFmtId="0" fontId="24" fillId="0" borderId="27" xfId="0" applyFont="1" applyBorder="1" applyAlignment="1">
      <alignment vertical="center"/>
    </xf>
    <xf numFmtId="0" fontId="0" fillId="0" borderId="0" xfId="0" applyAlignment="1" applyProtection="1"/>
    <xf numFmtId="0" fontId="9" fillId="0" borderId="0" xfId="0" applyFont="1" applyAlignment="1" applyProtection="1"/>
    <xf numFmtId="0" fontId="2" fillId="0" borderId="0" xfId="0" applyFont="1" applyBorder="1" applyAlignment="1">
      <alignment horizontal="center"/>
    </xf>
    <xf numFmtId="0" fontId="5" fillId="0" borderId="7" xfId="0" applyFont="1" applyFill="1" applyBorder="1" applyAlignment="1" applyProtection="1"/>
    <xf numFmtId="0" fontId="5" fillId="0" borderId="10" xfId="0" applyFont="1" applyFill="1" applyBorder="1" applyAlignment="1" applyProtection="1"/>
    <xf numFmtId="0" fontId="3" fillId="0" borderId="6" xfId="0" applyFont="1" applyBorder="1" applyAlignment="1" applyProtection="1">
      <alignment horizontal="left"/>
    </xf>
    <xf numFmtId="0" fontId="3" fillId="0" borderId="7" xfId="0" applyFont="1" applyBorder="1" applyAlignment="1" applyProtection="1">
      <alignment horizontal="left"/>
    </xf>
    <xf numFmtId="0" fontId="55" fillId="0" borderId="5" xfId="0" applyFont="1" applyFill="1" applyBorder="1" applyAlignment="1" applyProtection="1"/>
    <xf numFmtId="0" fontId="0" fillId="0" borderId="14" xfId="0" applyBorder="1"/>
    <xf numFmtId="0" fontId="27" fillId="0" borderId="20" xfId="0" applyFont="1" applyBorder="1" applyAlignment="1">
      <alignment horizontal="right"/>
    </xf>
    <xf numFmtId="0" fontId="22" fillId="0" borderId="0" xfId="0" applyFont="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horizontal="right"/>
    </xf>
    <xf numFmtId="0" fontId="4" fillId="0" borderId="0" xfId="0" applyFont="1" applyFill="1" applyBorder="1" applyAlignment="1" applyProtection="1">
      <alignment horizontal="left"/>
    </xf>
    <xf numFmtId="0" fontId="2" fillId="0" borderId="0" xfId="0" applyFont="1" applyBorder="1" applyAlignment="1">
      <alignment horizontal="left" vertical="center" wrapText="1"/>
    </xf>
    <xf numFmtId="0" fontId="4" fillId="0" borderId="0" xfId="0" applyFont="1" applyFill="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Alignment="1">
      <alignment horizontal="left" wrapText="1"/>
    </xf>
    <xf numFmtId="0" fontId="12" fillId="0" borderId="0" xfId="0" applyFont="1" applyFill="1" applyBorder="1" applyAlignment="1">
      <alignment horizontal="left"/>
    </xf>
    <xf numFmtId="0" fontId="23" fillId="0" borderId="0" xfId="0" applyFont="1" applyFill="1" applyBorder="1" applyAlignment="1" applyProtection="1">
      <alignment horizontal="center" vertical="center"/>
    </xf>
    <xf numFmtId="0" fontId="30" fillId="0" borderId="0" xfId="0" applyFont="1" applyFill="1" applyBorder="1" applyAlignment="1" applyProtection="1">
      <alignment horizontal="right" vertical="center"/>
    </xf>
    <xf numFmtId="0" fontId="59" fillId="0" borderId="0" xfId="0" applyFont="1" applyAlignment="1">
      <alignment vertical="center"/>
    </xf>
    <xf numFmtId="0" fontId="60" fillId="4" borderId="46" xfId="0" applyFont="1" applyFill="1" applyBorder="1" applyAlignment="1">
      <alignment horizontal="center" vertical="center"/>
    </xf>
    <xf numFmtId="0" fontId="61" fillId="0" borderId="0" xfId="0" applyFont="1" applyAlignment="1">
      <alignment vertical="center"/>
    </xf>
    <xf numFmtId="0" fontId="59" fillId="0" borderId="4" xfId="0" applyFont="1" applyBorder="1" applyAlignment="1">
      <alignment vertical="center"/>
    </xf>
    <xf numFmtId="0" fontId="59" fillId="0" borderId="0" xfId="0" applyFont="1" applyBorder="1" applyAlignment="1">
      <alignment vertical="center"/>
    </xf>
    <xf numFmtId="0" fontId="61" fillId="0" borderId="0" xfId="0" applyFont="1" applyBorder="1" applyAlignment="1">
      <alignment vertical="center"/>
    </xf>
    <xf numFmtId="0" fontId="62" fillId="0" borderId="4" xfId="0" applyFont="1" applyBorder="1" applyAlignment="1">
      <alignment vertical="center"/>
    </xf>
    <xf numFmtId="0" fontId="62" fillId="0" borderId="0" xfId="0" applyFont="1" applyBorder="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2" borderId="46" xfId="0" applyFont="1" applyFill="1" applyBorder="1" applyAlignment="1">
      <alignment horizontal="center" vertical="center"/>
    </xf>
    <xf numFmtId="0" fontId="59" fillId="0" borderId="0" xfId="0" applyFont="1" applyAlignment="1">
      <alignment horizontal="center" vertical="center"/>
    </xf>
    <xf numFmtId="4" fontId="64" fillId="0" borderId="46" xfId="0" applyNumberFormat="1" applyFont="1" applyBorder="1" applyAlignment="1">
      <alignment vertical="center"/>
    </xf>
    <xf numFmtId="4" fontId="65" fillId="2" borderId="46" xfId="0" applyNumberFormat="1" applyFont="1" applyFill="1" applyBorder="1" applyAlignment="1">
      <alignment vertical="center"/>
    </xf>
    <xf numFmtId="0" fontId="66" fillId="0" borderId="0" xfId="0" applyFont="1" applyBorder="1" applyAlignment="1">
      <alignment vertical="center"/>
    </xf>
    <xf numFmtId="186" fontId="62" fillId="0" borderId="0" xfId="0" applyNumberFormat="1" applyFont="1" applyBorder="1" applyAlignment="1">
      <alignment vertical="center"/>
    </xf>
    <xf numFmtId="186" fontId="59" fillId="0" borderId="0" xfId="0" applyNumberFormat="1" applyFont="1" applyBorder="1" applyAlignment="1">
      <alignment vertical="center"/>
    </xf>
    <xf numFmtId="0" fontId="62" fillId="0" borderId="6" xfId="0" applyFont="1" applyBorder="1" applyAlignment="1">
      <alignment vertical="center"/>
    </xf>
    <xf numFmtId="0" fontId="59" fillId="0" borderId="7" xfId="0" applyFont="1" applyBorder="1" applyAlignment="1">
      <alignment vertical="center"/>
    </xf>
    <xf numFmtId="3" fontId="64" fillId="0" borderId="46" xfId="0" applyNumberFormat="1" applyFont="1" applyBorder="1" applyAlignment="1">
      <alignment horizontal="center" vertical="center"/>
    </xf>
    <xf numFmtId="186" fontId="62" fillId="0" borderId="0" xfId="0" applyNumberFormat="1" applyFont="1" applyAlignment="1">
      <alignment vertical="center"/>
    </xf>
    <xf numFmtId="0" fontId="60" fillId="0" borderId="4" xfId="0" applyFont="1" applyBorder="1" applyAlignment="1">
      <alignment vertical="center"/>
    </xf>
    <xf numFmtId="0" fontId="2" fillId="0" borderId="21" xfId="0" applyFont="1" applyFill="1" applyBorder="1" applyAlignment="1" applyProtection="1">
      <alignment horizontal="left" vertical="center"/>
    </xf>
    <xf numFmtId="0" fontId="62" fillId="0" borderId="0" xfId="0" applyFont="1" applyFill="1" applyAlignment="1">
      <alignment vertical="center"/>
    </xf>
    <xf numFmtId="0" fontId="59" fillId="0" borderId="0" xfId="0" applyFont="1" applyFill="1" applyAlignment="1">
      <alignment vertical="center"/>
    </xf>
    <xf numFmtId="0" fontId="2" fillId="0" borderId="5" xfId="0" applyFont="1" applyFill="1" applyBorder="1" applyAlignment="1" applyProtection="1">
      <alignment horizontal="left" vertical="center"/>
    </xf>
    <xf numFmtId="0" fontId="59" fillId="0" borderId="5" xfId="0" applyFont="1" applyFill="1" applyBorder="1" applyAlignment="1">
      <alignment vertical="center"/>
    </xf>
    <xf numFmtId="0" fontId="62" fillId="0" borderId="5" xfId="0" applyFont="1" applyFill="1" applyBorder="1" applyAlignment="1">
      <alignment vertical="center"/>
    </xf>
    <xf numFmtId="181" fontId="62" fillId="0" borderId="5" xfId="0" applyNumberFormat="1" applyFont="1" applyFill="1" applyBorder="1" applyAlignment="1">
      <alignment vertical="center"/>
    </xf>
    <xf numFmtId="186" fontId="66" fillId="0" borderId="5" xfId="0" applyNumberFormat="1" applyFont="1" applyFill="1" applyBorder="1" applyAlignment="1">
      <alignment horizontal="center" vertical="center"/>
    </xf>
    <xf numFmtId="186" fontId="59" fillId="0" borderId="5" xfId="0" applyNumberFormat="1" applyFont="1" applyFill="1" applyBorder="1" applyAlignment="1">
      <alignment vertical="center"/>
    </xf>
    <xf numFmtId="186" fontId="2" fillId="0" borderId="5" xfId="0" applyNumberFormat="1" applyFont="1" applyFill="1" applyBorder="1" applyAlignment="1" applyProtection="1">
      <alignment horizontal="center" vertical="center"/>
    </xf>
    <xf numFmtId="9" fontId="62" fillId="0" borderId="5" xfId="2" applyFont="1" applyFill="1" applyBorder="1" applyAlignment="1">
      <alignment horizontal="center" vertical="center"/>
    </xf>
    <xf numFmtId="186" fontId="59" fillId="0" borderId="5" xfId="0" applyNumberFormat="1" applyFont="1" applyFill="1" applyBorder="1" applyAlignment="1">
      <alignment horizontal="center" vertical="center"/>
    </xf>
    <xf numFmtId="186" fontId="62" fillId="0" borderId="5" xfId="0" applyNumberFormat="1" applyFont="1" applyFill="1" applyBorder="1" applyAlignment="1">
      <alignment horizontal="center" vertical="center"/>
    </xf>
    <xf numFmtId="0" fontId="59" fillId="0" borderId="2" xfId="0" applyFont="1" applyFill="1" applyBorder="1" applyAlignment="1">
      <alignment vertical="center"/>
    </xf>
    <xf numFmtId="0" fontId="62" fillId="0" borderId="1" xfId="0" applyFont="1" applyFill="1" applyBorder="1" applyAlignment="1">
      <alignment vertical="center"/>
    </xf>
    <xf numFmtId="0" fontId="1" fillId="3" borderId="5" xfId="0" applyFont="1" applyFill="1" applyBorder="1" applyAlignment="1">
      <alignment horizontal="left" wrapText="1"/>
    </xf>
    <xf numFmtId="0" fontId="70" fillId="0" borderId="4" xfId="0" applyFont="1" applyBorder="1" applyAlignment="1">
      <alignment vertical="center"/>
    </xf>
    <xf numFmtId="0" fontId="9" fillId="3" borderId="7" xfId="0" applyFont="1" applyFill="1" applyBorder="1" applyAlignment="1" applyProtection="1">
      <alignment horizontal="right"/>
      <protection hidden="1"/>
    </xf>
    <xf numFmtId="0" fontId="70" fillId="0" borderId="0" xfId="0" applyFont="1" applyBorder="1" applyAlignment="1">
      <alignment vertical="center"/>
    </xf>
    <xf numFmtId="0" fontId="70" fillId="0" borderId="0" xfId="0" applyFont="1" applyBorder="1" applyAlignment="1">
      <alignment horizontal="right" vertical="center"/>
    </xf>
    <xf numFmtId="0" fontId="59" fillId="0" borderId="0" xfId="0" applyFont="1" applyBorder="1" applyAlignment="1">
      <alignment horizontal="right" vertical="center"/>
    </xf>
    <xf numFmtId="173" fontId="59" fillId="0" borderId="0" xfId="0" applyNumberFormat="1" applyFont="1" applyFill="1" applyBorder="1" applyAlignment="1" applyProtection="1">
      <alignment vertical="center"/>
    </xf>
    <xf numFmtId="0" fontId="62" fillId="0" borderId="0" xfId="0" applyNumberFormat="1" applyFont="1" applyFill="1" applyBorder="1" applyAlignment="1" applyProtection="1">
      <alignment vertical="center"/>
      <protection locked="0"/>
    </xf>
    <xf numFmtId="0" fontId="71" fillId="0" borderId="4" xfId="0" applyFont="1" applyBorder="1" applyAlignment="1">
      <alignment vertical="center"/>
    </xf>
    <xf numFmtId="0" fontId="72" fillId="0" borderId="4" xfId="0" applyFont="1" applyBorder="1" applyAlignment="1">
      <alignment vertical="center"/>
    </xf>
    <xf numFmtId="0" fontId="72" fillId="0" borderId="0" xfId="0" applyFont="1" applyBorder="1" applyAlignment="1">
      <alignment vertical="center"/>
    </xf>
    <xf numFmtId="0" fontId="2" fillId="0" borderId="0" xfId="0" applyFont="1" applyAlignment="1">
      <alignment vertical="center"/>
    </xf>
    <xf numFmtId="0" fontId="58" fillId="0" borderId="0" xfId="0" applyFont="1"/>
    <xf numFmtId="0" fontId="0" fillId="0" borderId="0" xfId="0" applyFont="1"/>
    <xf numFmtId="185" fontId="0" fillId="0" borderId="0" xfId="2" applyNumberFormat="1" applyFont="1"/>
    <xf numFmtId="10" fontId="0" fillId="0" borderId="0" xfId="2" applyNumberFormat="1" applyFont="1"/>
    <xf numFmtId="0" fontId="57" fillId="0" borderId="0" xfId="0" applyFont="1"/>
    <xf numFmtId="185" fontId="57" fillId="0" borderId="0" xfId="2" applyNumberFormat="1" applyFont="1"/>
    <xf numFmtId="0" fontId="70" fillId="0" borderId="28" xfId="0" applyFont="1" applyBorder="1" applyAlignment="1">
      <alignment horizontal="center" vertical="center"/>
    </xf>
    <xf numFmtId="186" fontId="70" fillId="5" borderId="32" xfId="0" applyNumberFormat="1" applyFont="1" applyFill="1" applyBorder="1" applyAlignment="1" applyProtection="1">
      <alignment vertical="center"/>
      <protection locked="0"/>
    </xf>
    <xf numFmtId="0" fontId="70" fillId="0" borderId="28" xfId="0" applyNumberFormat="1" applyFont="1" applyBorder="1" applyAlignment="1">
      <alignment horizontal="center" vertical="center"/>
    </xf>
    <xf numFmtId="9" fontId="70" fillId="0" borderId="28" xfId="2" applyFont="1" applyBorder="1" applyAlignment="1">
      <alignment vertical="center"/>
    </xf>
    <xf numFmtId="186" fontId="70" fillId="5" borderId="28" xfId="0" applyNumberFormat="1" applyFont="1" applyFill="1" applyBorder="1" applyAlignment="1" applyProtection="1">
      <alignment vertical="center"/>
      <protection locked="0"/>
    </xf>
    <xf numFmtId="186" fontId="70" fillId="5" borderId="27" xfId="0" applyNumberFormat="1" applyFont="1" applyFill="1" applyBorder="1" applyAlignment="1" applyProtection="1">
      <alignment vertical="center"/>
      <protection locked="0"/>
    </xf>
    <xf numFmtId="1" fontId="70" fillId="5" borderId="35" xfId="0" applyNumberFormat="1" applyFont="1" applyFill="1" applyBorder="1" applyAlignment="1" applyProtection="1">
      <alignment horizontal="center" vertical="center"/>
      <protection locked="0"/>
    </xf>
    <xf numFmtId="9" fontId="70" fillId="5" borderId="35" xfId="0" applyNumberFormat="1" applyFont="1" applyFill="1" applyBorder="1" applyAlignment="1" applyProtection="1">
      <alignment vertical="center"/>
      <protection locked="0"/>
    </xf>
    <xf numFmtId="186" fontId="70" fillId="5" borderId="35" xfId="0" applyNumberFormat="1" applyFont="1" applyFill="1" applyBorder="1" applyAlignment="1" applyProtection="1">
      <alignment vertical="center"/>
      <protection locked="0"/>
    </xf>
    <xf numFmtId="1" fontId="70" fillId="5" borderId="28" xfId="0" applyNumberFormat="1" applyFont="1" applyFill="1" applyBorder="1" applyAlignment="1" applyProtection="1">
      <alignment horizontal="center" vertical="center"/>
      <protection locked="0"/>
    </xf>
    <xf numFmtId="9" fontId="70" fillId="5" borderId="28" xfId="0" applyNumberFormat="1" applyFont="1" applyFill="1" applyBorder="1" applyAlignment="1" applyProtection="1">
      <alignment vertical="center"/>
      <protection locked="0"/>
    </xf>
    <xf numFmtId="181" fontId="70" fillId="0" borderId="0" xfId="0" applyNumberFormat="1" applyFont="1" applyBorder="1" applyAlignment="1">
      <alignment vertical="center"/>
    </xf>
    <xf numFmtId="186" fontId="72" fillId="0" borderId="0" xfId="0" applyNumberFormat="1" applyFont="1" applyBorder="1" applyAlignment="1">
      <alignment vertical="center"/>
    </xf>
    <xf numFmtId="4" fontId="9" fillId="0" borderId="0" xfId="0" applyNumberFormat="1" applyFont="1" applyBorder="1"/>
    <xf numFmtId="3" fontId="70" fillId="0" borderId="0" xfId="2" applyNumberFormat="1" applyFont="1" applyBorder="1" applyAlignment="1">
      <alignment horizontal="center" vertical="center"/>
    </xf>
    <xf numFmtId="186" fontId="70" fillId="0" borderId="28" xfId="0" applyNumberFormat="1" applyFont="1" applyFill="1" applyBorder="1" applyAlignment="1">
      <alignment vertical="center"/>
    </xf>
    <xf numFmtId="186" fontId="70" fillId="0" borderId="0" xfId="0" applyNumberFormat="1" applyFont="1" applyFill="1" applyBorder="1" applyAlignment="1">
      <alignment vertical="center"/>
    </xf>
    <xf numFmtId="0" fontId="70" fillId="0" borderId="0" xfId="0" applyFont="1" applyFill="1" applyBorder="1" applyAlignment="1">
      <alignment vertical="center"/>
    </xf>
    <xf numFmtId="0" fontId="70" fillId="0" borderId="4" xfId="0" applyFont="1" applyFill="1" applyBorder="1" applyAlignment="1">
      <alignment vertical="center"/>
    </xf>
    <xf numFmtId="4" fontId="9" fillId="0" borderId="0" xfId="0" applyNumberFormat="1" applyFont="1" applyFill="1" applyBorder="1"/>
    <xf numFmtId="0" fontId="70" fillId="0" borderId="1" xfId="0" applyFont="1" applyBorder="1" applyAlignment="1">
      <alignment vertical="center"/>
    </xf>
    <xf numFmtId="0" fontId="70" fillId="0" borderId="2" xfId="0" applyFont="1" applyFill="1" applyBorder="1" applyAlignment="1">
      <alignment vertical="center"/>
    </xf>
    <xf numFmtId="0" fontId="70" fillId="0" borderId="5" xfId="0" applyFont="1" applyFill="1" applyBorder="1" applyAlignment="1">
      <alignment vertical="center"/>
    </xf>
    <xf numFmtId="9" fontId="70" fillId="0" borderId="0" xfId="2" applyFont="1" applyBorder="1" applyAlignment="1">
      <alignment horizontal="center" vertical="center"/>
    </xf>
    <xf numFmtId="9" fontId="70" fillId="0" borderId="0" xfId="2" applyFont="1" applyBorder="1" applyAlignment="1">
      <alignment vertical="center"/>
    </xf>
    <xf numFmtId="0" fontId="70" fillId="0" borderId="0" xfId="0" applyFont="1" applyBorder="1" applyAlignment="1">
      <alignment horizontal="center" vertical="center"/>
    </xf>
    <xf numFmtId="0" fontId="70" fillId="0" borderId="0" xfId="0" applyFont="1" applyAlignment="1">
      <alignment vertical="center"/>
    </xf>
    <xf numFmtId="0" fontId="70" fillId="0" borderId="0" xfId="0" applyFont="1" applyBorder="1" applyAlignment="1">
      <alignment horizontal="left" vertical="center"/>
    </xf>
    <xf numFmtId="0" fontId="74" fillId="0" borderId="0" xfId="0" applyFont="1" applyBorder="1" applyAlignment="1">
      <alignment horizontal="right" vertical="center"/>
    </xf>
    <xf numFmtId="0" fontId="70" fillId="0" borderId="6" xfId="0" applyFont="1" applyBorder="1" applyAlignment="1">
      <alignment vertical="center"/>
    </xf>
    <xf numFmtId="0" fontId="70" fillId="0" borderId="7" xfId="0" applyFont="1" applyBorder="1" applyAlignment="1">
      <alignment vertical="center"/>
    </xf>
    <xf numFmtId="0" fontId="59" fillId="0" borderId="6" xfId="0" applyFont="1" applyBorder="1" applyAlignment="1">
      <alignment vertical="center"/>
    </xf>
    <xf numFmtId="0" fontId="70" fillId="0" borderId="10" xfId="0" applyFont="1" applyFill="1" applyBorder="1" applyAlignment="1">
      <alignment vertical="center"/>
    </xf>
    <xf numFmtId="0" fontId="2" fillId="0" borderId="0" xfId="0" applyFont="1" applyFill="1" applyBorder="1" applyAlignment="1" applyProtection="1">
      <protection locked="0" hidden="1"/>
    </xf>
    <xf numFmtId="0" fontId="2" fillId="0" borderId="0" xfId="0" applyFont="1" applyFill="1" applyBorder="1" applyAlignment="1" applyProtection="1">
      <alignment horizontal="center"/>
      <protection locked="0" hidden="1"/>
    </xf>
    <xf numFmtId="0" fontId="12" fillId="0" borderId="0" xfId="0" applyFont="1" applyFill="1" applyBorder="1" applyAlignment="1" applyProtection="1">
      <alignment horizontal="left"/>
      <protection locked="0" hidden="1"/>
    </xf>
    <xf numFmtId="0" fontId="21" fillId="0" borderId="0" xfId="0" applyFont="1" applyBorder="1" applyAlignment="1">
      <alignment horizontal="center" wrapText="1"/>
    </xf>
    <xf numFmtId="171" fontId="2" fillId="0" borderId="0" xfId="0" applyNumberFormat="1" applyFont="1" applyBorder="1" applyAlignment="1">
      <alignment horizontal="right"/>
    </xf>
    <xf numFmtId="167" fontId="2" fillId="0" borderId="0" xfId="0" applyNumberFormat="1" applyFont="1" applyBorder="1" applyAlignment="1">
      <alignment horizontal="right"/>
    </xf>
    <xf numFmtId="0" fontId="31" fillId="0" borderId="0" xfId="0" applyFont="1" applyFill="1" applyBorder="1" applyAlignment="1">
      <alignment horizontal="left"/>
    </xf>
    <xf numFmtId="172" fontId="2" fillId="0" borderId="0" xfId="0" applyNumberFormat="1" applyFont="1" applyBorder="1" applyAlignment="1">
      <alignment horizontal="right"/>
    </xf>
    <xf numFmtId="177" fontId="2" fillId="0" borderId="0" xfId="0" applyNumberFormat="1" applyFont="1" applyBorder="1"/>
    <xf numFmtId="173" fontId="31" fillId="0" borderId="0" xfId="0" applyNumberFormat="1" applyFont="1" applyFill="1" applyBorder="1" applyAlignment="1">
      <alignment horizontal="center"/>
    </xf>
    <xf numFmtId="0" fontId="2" fillId="0" borderId="0" xfId="0" applyFont="1" applyBorder="1" applyAlignment="1">
      <alignment horizontal="center" wrapText="1"/>
    </xf>
    <xf numFmtId="0" fontId="17" fillId="2" borderId="0" xfId="0" applyFont="1" applyFill="1" applyBorder="1" applyAlignment="1">
      <alignment horizontal="center" vertical="center"/>
    </xf>
    <xf numFmtId="0" fontId="17" fillId="0" borderId="0" xfId="0" applyFont="1" applyBorder="1" applyAlignment="1">
      <alignment horizontal="center" vertical="center"/>
    </xf>
    <xf numFmtId="0" fontId="42" fillId="0" borderId="0" xfId="0" applyFont="1" applyBorder="1"/>
    <xf numFmtId="0" fontId="39" fillId="0" borderId="0" xfId="1" applyBorder="1" applyAlignment="1" applyProtection="1"/>
    <xf numFmtId="0" fontId="39" fillId="0" borderId="0" xfId="1" applyBorder="1" applyAlignment="1" applyProtection="1">
      <alignment horizontal="center"/>
    </xf>
    <xf numFmtId="0" fontId="22" fillId="0" borderId="0" xfId="0" applyFont="1" applyFill="1" applyBorder="1" applyAlignment="1" applyProtection="1"/>
    <xf numFmtId="0" fontId="22" fillId="0" borderId="0" xfId="0" applyFont="1" applyBorder="1" applyAlignment="1" applyProtection="1">
      <alignment vertical="center"/>
    </xf>
    <xf numFmtId="0" fontId="17" fillId="0" borderId="0" xfId="0" applyFont="1" applyBorder="1" applyAlignment="1">
      <alignment horizontal="center"/>
    </xf>
    <xf numFmtId="165" fontId="2" fillId="5" borderId="0" xfId="0" applyNumberFormat="1" applyFont="1" applyFill="1" applyBorder="1" applyProtection="1">
      <protection locked="0"/>
    </xf>
    <xf numFmtId="0" fontId="36" fillId="0" borderId="0" xfId="0" applyFont="1" applyBorder="1" applyProtection="1"/>
    <xf numFmtId="0" fontId="36" fillId="0" borderId="0" xfId="0" applyFont="1" applyBorder="1" applyAlignment="1" applyProtection="1">
      <alignment horizontal="right"/>
    </xf>
    <xf numFmtId="166" fontId="36" fillId="0" borderId="0" xfId="0" applyNumberFormat="1" applyFont="1" applyBorder="1" applyAlignment="1" applyProtection="1">
      <alignment horizontal="left"/>
    </xf>
    <xf numFmtId="178" fontId="2" fillId="5" borderId="0" xfId="0" applyNumberFormat="1" applyFont="1" applyFill="1" applyBorder="1" applyAlignment="1" applyProtection="1">
      <alignment horizontal="left"/>
      <protection locked="0"/>
    </xf>
    <xf numFmtId="0" fontId="22" fillId="0" borderId="0" xfId="0" applyFont="1" applyBorder="1" applyAlignment="1" applyProtection="1">
      <alignment horizontal="left"/>
    </xf>
    <xf numFmtId="166" fontId="22" fillId="0" borderId="0" xfId="0" applyNumberFormat="1" applyFont="1" applyBorder="1" applyAlignment="1" applyProtection="1">
      <alignment horizontal="left"/>
    </xf>
    <xf numFmtId="0" fontId="2" fillId="0" borderId="0" xfId="0" applyFont="1" applyBorder="1" applyAlignment="1" applyProtection="1">
      <alignment vertical="top"/>
    </xf>
    <xf numFmtId="0" fontId="22" fillId="0" borderId="0" xfId="0" applyFont="1" applyBorder="1" applyAlignment="1" applyProtection="1"/>
    <xf numFmtId="49" fontId="12" fillId="4"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2" fillId="0" borderId="0" xfId="0" applyFont="1" applyFill="1" applyBorder="1" applyAlignment="1">
      <alignment horizontal="left"/>
    </xf>
    <xf numFmtId="0" fontId="53" fillId="0" borderId="0" xfId="0" applyFont="1" applyFill="1" applyBorder="1" applyAlignment="1">
      <alignment horizontal="left"/>
    </xf>
    <xf numFmtId="0" fontId="27" fillId="0" borderId="0" xfId="0" applyFont="1" applyBorder="1" applyAlignment="1">
      <alignment horizontal="right"/>
    </xf>
    <xf numFmtId="168" fontId="2" fillId="5" borderId="0" xfId="0" applyNumberFormat="1" applyFont="1" applyFill="1" applyBorder="1" applyAlignment="1" applyProtection="1">
      <alignment horizontal="center"/>
      <protection locked="0"/>
    </xf>
    <xf numFmtId="168" fontId="28" fillId="0" borderId="0" xfId="0" applyNumberFormat="1" applyFont="1" applyFill="1" applyBorder="1" applyAlignment="1">
      <alignment horizontal="right"/>
    </xf>
    <xf numFmtId="0" fontId="29" fillId="0" borderId="0" xfId="0" applyFont="1" applyFill="1" applyBorder="1" applyAlignment="1">
      <alignment horizontal="left"/>
    </xf>
    <xf numFmtId="167" fontId="2" fillId="0" borderId="0" xfId="0" applyNumberFormat="1" applyFont="1" applyBorder="1" applyAlignment="1">
      <alignment horizontal="left" vertical="center" wrapText="1"/>
    </xf>
    <xf numFmtId="49" fontId="12" fillId="2" borderId="0" xfId="0" applyNumberFormat="1" applyFont="1" applyFill="1" applyBorder="1" applyAlignment="1">
      <alignment horizontal="center" vertical="center"/>
    </xf>
    <xf numFmtId="0" fontId="4" fillId="0" borderId="0" xfId="0" applyFont="1" applyFill="1" applyBorder="1" applyAlignment="1" applyProtection="1">
      <alignment vertical="center"/>
    </xf>
    <xf numFmtId="0" fontId="66" fillId="0" borderId="4" xfId="0" applyFont="1" applyBorder="1" applyAlignment="1">
      <alignment vertical="center"/>
    </xf>
    <xf numFmtId="0" fontId="71" fillId="0" borderId="4" xfId="0" applyFont="1" applyBorder="1" applyAlignment="1"/>
    <xf numFmtId="0" fontId="22" fillId="0" borderId="0" xfId="0" applyFont="1" applyFill="1" applyBorder="1" applyAlignment="1">
      <alignment vertical="center"/>
    </xf>
    <xf numFmtId="3" fontId="43" fillId="0" borderId="0" xfId="2" applyNumberFormat="1" applyFont="1" applyFill="1" applyBorder="1" applyAlignment="1">
      <alignment horizontal="center" vertical="center"/>
    </xf>
    <xf numFmtId="0" fontId="43" fillId="0" borderId="0" xfId="0" applyFont="1" applyFill="1" applyBorder="1" applyAlignment="1">
      <alignment vertical="center"/>
    </xf>
    <xf numFmtId="0" fontId="43" fillId="0" borderId="43" xfId="0" applyFont="1" applyFill="1" applyBorder="1" applyAlignment="1">
      <alignment vertical="center"/>
    </xf>
    <xf numFmtId="0" fontId="59" fillId="0" borderId="0" xfId="0" applyFont="1" applyFill="1" applyBorder="1" applyAlignment="1">
      <alignment vertical="center"/>
    </xf>
    <xf numFmtId="0" fontId="35" fillId="0" borderId="4" xfId="0" applyFont="1" applyBorder="1" applyAlignment="1">
      <alignment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pplyProtection="1">
      <alignment horizontal="left"/>
    </xf>
    <xf numFmtId="0" fontId="2" fillId="0" borderId="0" xfId="0" applyFont="1" applyBorder="1" applyAlignment="1" applyProtection="1">
      <alignment horizontal="right"/>
    </xf>
    <xf numFmtId="0" fontId="2" fillId="0" borderId="0" xfId="0" applyFont="1" applyBorder="1" applyAlignment="1" applyProtection="1">
      <alignment horizontal="left" vertical="center" wrapText="1"/>
    </xf>
    <xf numFmtId="0" fontId="4" fillId="0" borderId="0" xfId="0" applyFont="1" applyFill="1" applyBorder="1" applyAlignment="1" applyProtection="1">
      <alignment horizontal="center"/>
    </xf>
    <xf numFmtId="0" fontId="9" fillId="0" borderId="0" xfId="0" applyFont="1" applyFill="1" applyBorder="1" applyAlignment="1" applyProtection="1">
      <alignment horizontal="left" wrapText="1"/>
    </xf>
    <xf numFmtId="0" fontId="9" fillId="0" borderId="0" xfId="0" applyFont="1" applyFill="1" applyBorder="1" applyAlignment="1" applyProtection="1">
      <alignment horizontal="left"/>
    </xf>
    <xf numFmtId="0" fontId="2" fillId="0" borderId="0" xfId="0" applyFont="1" applyBorder="1" applyAlignment="1" applyProtection="1">
      <alignment horizontal="center"/>
    </xf>
    <xf numFmtId="0" fontId="23" fillId="3" borderId="22" xfId="0" applyFont="1" applyFill="1" applyBorder="1" applyAlignment="1" applyProtection="1">
      <alignment horizontal="center" vertical="center"/>
    </xf>
    <xf numFmtId="0" fontId="59" fillId="0" borderId="3" xfId="0" applyFont="1" applyBorder="1" applyAlignment="1">
      <alignment vertical="center"/>
    </xf>
    <xf numFmtId="186" fontId="70" fillId="0" borderId="27" xfId="0" applyNumberFormat="1" applyFont="1" applyFill="1" applyBorder="1" applyAlignment="1">
      <alignment vertical="center"/>
    </xf>
    <xf numFmtId="186" fontId="70" fillId="0" borderId="19" xfId="0" applyNumberFormat="1" applyFont="1" applyFill="1" applyBorder="1" applyAlignment="1">
      <alignment vertical="center"/>
    </xf>
    <xf numFmtId="186" fontId="70" fillId="0" borderId="45" xfId="0" applyNumberFormat="1" applyFont="1" applyFill="1" applyBorder="1" applyAlignment="1">
      <alignment vertical="center"/>
    </xf>
    <xf numFmtId="186" fontId="70" fillId="0" borderId="27" xfId="0" applyNumberFormat="1" applyFont="1" applyFill="1" applyBorder="1" applyAlignment="1">
      <alignment horizontal="right" vertical="center"/>
    </xf>
    <xf numFmtId="186" fontId="75" fillId="7" borderId="22" xfId="0" applyNumberFormat="1" applyFont="1" applyFill="1" applyBorder="1" applyAlignment="1">
      <alignment vertical="center"/>
    </xf>
    <xf numFmtId="186" fontId="75" fillId="7" borderId="11" xfId="0" applyNumberFormat="1" applyFont="1" applyFill="1" applyBorder="1" applyAlignment="1">
      <alignment vertical="center"/>
    </xf>
    <xf numFmtId="186" fontId="75" fillId="7" borderId="12" xfId="0" applyNumberFormat="1" applyFont="1" applyFill="1" applyBorder="1" applyAlignment="1">
      <alignment vertical="center"/>
    </xf>
    <xf numFmtId="9" fontId="59" fillId="0" borderId="0" xfId="0" applyNumberFormat="1" applyFont="1" applyAlignment="1">
      <alignment vertical="center"/>
    </xf>
    <xf numFmtId="0" fontId="2" fillId="0" borderId="14" xfId="0" applyFont="1" applyFill="1" applyBorder="1" applyAlignment="1" applyProtection="1">
      <alignment horizontal="left" vertical="center"/>
    </xf>
    <xf numFmtId="0" fontId="30" fillId="0" borderId="30" xfId="0" applyFont="1" applyBorder="1"/>
    <xf numFmtId="0" fontId="30" fillId="5" borderId="53" xfId="0" applyFont="1" applyFill="1" applyBorder="1" applyAlignment="1">
      <alignment horizontal="left" vertical="center" wrapText="1"/>
    </xf>
    <xf numFmtId="0" fontId="67" fillId="0" borderId="0" xfId="0" applyFont="1" applyFill="1" applyBorder="1" applyAlignment="1">
      <alignment vertical="center"/>
    </xf>
    <xf numFmtId="186" fontId="67" fillId="0" borderId="0" xfId="0" applyNumberFormat="1" applyFont="1" applyFill="1" applyBorder="1" applyAlignment="1">
      <alignment vertical="center"/>
    </xf>
    <xf numFmtId="0" fontId="9" fillId="0" borderId="0" xfId="0" applyFont="1" applyProtection="1"/>
    <xf numFmtId="0" fontId="30" fillId="3" borderId="6" xfId="0" applyFont="1" applyFill="1" applyBorder="1" applyAlignment="1" applyProtection="1">
      <alignment horizontal="left" vertical="top"/>
    </xf>
    <xf numFmtId="0" fontId="2" fillId="3" borderId="7" xfId="0" applyFont="1" applyFill="1" applyBorder="1" applyAlignment="1" applyProtection="1">
      <alignment vertical="top"/>
    </xf>
    <xf numFmtId="0" fontId="30" fillId="3" borderId="7" xfId="0" applyFont="1" applyFill="1" applyBorder="1" applyAlignment="1" applyProtection="1">
      <alignment horizontal="left" vertical="top"/>
    </xf>
    <xf numFmtId="0" fontId="9" fillId="0" borderId="0" xfId="0" applyFont="1" applyFill="1" applyBorder="1" applyProtection="1"/>
    <xf numFmtId="0" fontId="9" fillId="0" borderId="0" xfId="0" applyFont="1" applyFill="1" applyProtection="1"/>
    <xf numFmtId="0" fontId="33" fillId="0" borderId="0" xfId="0" applyFont="1" applyFill="1" applyProtection="1"/>
    <xf numFmtId="0" fontId="2" fillId="0" borderId="0" xfId="0" applyFont="1" applyBorder="1" applyAlignment="1" applyProtection="1">
      <alignment horizontal="left" wrapText="1"/>
    </xf>
    <xf numFmtId="0" fontId="2" fillId="0" borderId="5" xfId="0" applyFont="1" applyBorder="1" applyAlignment="1" applyProtection="1">
      <alignment horizontal="left" wrapText="1"/>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54" fillId="0" borderId="0" xfId="0" applyFont="1" applyBorder="1" applyAlignment="1" applyProtection="1">
      <alignment vertical="center" wrapText="1"/>
    </xf>
    <xf numFmtId="0" fontId="21" fillId="0" borderId="18" xfId="0" applyFont="1" applyBorder="1" applyAlignment="1" applyProtection="1">
      <alignment horizontal="center" wrapText="1"/>
    </xf>
    <xf numFmtId="171" fontId="2" fillId="0" borderId="32" xfId="0" applyNumberFormat="1" applyFont="1" applyBorder="1" applyAlignment="1" applyProtection="1">
      <alignment horizontal="right"/>
    </xf>
    <xf numFmtId="167" fontId="2" fillId="0" borderId="35" xfId="0" applyNumberFormat="1" applyFont="1" applyBorder="1" applyAlignment="1" applyProtection="1">
      <alignment horizontal="right"/>
    </xf>
    <xf numFmtId="0" fontId="31" fillId="0" borderId="0" xfId="0" applyFont="1" applyBorder="1" applyProtection="1"/>
    <xf numFmtId="173" fontId="9" fillId="0" borderId="0" xfId="0" applyNumberFormat="1" applyFont="1" applyFill="1" applyBorder="1" applyAlignment="1" applyProtection="1">
      <alignment horizontal="left"/>
    </xf>
    <xf numFmtId="0" fontId="9" fillId="0" borderId="0" xfId="0" applyFont="1" applyFill="1" applyBorder="1" applyAlignment="1" applyProtection="1">
      <alignment horizontal="right"/>
    </xf>
    <xf numFmtId="173" fontId="9" fillId="0" borderId="0" xfId="0" applyNumberFormat="1" applyFont="1" applyFill="1" applyProtection="1"/>
    <xf numFmtId="0" fontId="31" fillId="0" borderId="4" xfId="0" applyFont="1" applyFill="1" applyBorder="1" applyAlignment="1" applyProtection="1">
      <alignment horizontal="left"/>
    </xf>
    <xf numFmtId="0" fontId="31" fillId="0" borderId="0" xfId="0" applyFont="1" applyFill="1" applyBorder="1" applyProtection="1"/>
    <xf numFmtId="172" fontId="2" fillId="0" borderId="28" xfId="0" applyNumberFormat="1" applyFont="1" applyBorder="1" applyAlignment="1" applyProtection="1">
      <alignment horizontal="right"/>
    </xf>
    <xf numFmtId="177" fontId="2" fillId="0" borderId="28" xfId="0" applyNumberFormat="1" applyFont="1" applyBorder="1" applyProtection="1"/>
    <xf numFmtId="2" fontId="9" fillId="0" borderId="0" xfId="0" applyNumberFormat="1" applyFont="1" applyFill="1" applyBorder="1" applyProtection="1"/>
    <xf numFmtId="1" fontId="9" fillId="0" borderId="0" xfId="0" applyNumberFormat="1" applyFont="1" applyFill="1" applyBorder="1" applyAlignment="1" applyProtection="1">
      <alignment horizontal="right"/>
    </xf>
    <xf numFmtId="173" fontId="31" fillId="0" borderId="4" xfId="0" applyNumberFormat="1" applyFont="1" applyFill="1" applyBorder="1" applyAlignment="1" applyProtection="1">
      <alignment horizontal="center"/>
    </xf>
    <xf numFmtId="173" fontId="31" fillId="0" borderId="0" xfId="0" applyNumberFormat="1" applyFont="1" applyFill="1" applyBorder="1" applyProtection="1"/>
    <xf numFmtId="2" fontId="2" fillId="0" borderId="28" xfId="0" applyNumberFormat="1" applyFont="1" applyBorder="1" applyAlignment="1" applyProtection="1">
      <alignment horizontal="right"/>
    </xf>
    <xf numFmtId="2" fontId="2" fillId="0" borderId="0" xfId="0" applyNumberFormat="1" applyFont="1" applyBorder="1" applyAlignment="1" applyProtection="1">
      <alignment horizontal="right"/>
    </xf>
    <xf numFmtId="2" fontId="2" fillId="0" borderId="0" xfId="0" applyNumberFormat="1" applyFont="1" applyBorder="1" applyAlignment="1" applyProtection="1"/>
    <xf numFmtId="2" fontId="2" fillId="0" borderId="0" xfId="0" applyNumberFormat="1" applyFont="1" applyBorder="1" applyAlignment="1" applyProtection="1">
      <alignment horizontal="center"/>
    </xf>
    <xf numFmtId="2" fontId="2" fillId="0" borderId="5" xfId="0" applyNumberFormat="1" applyFont="1" applyBorder="1" applyAlignment="1" applyProtection="1"/>
    <xf numFmtId="2" fontId="9" fillId="0" borderId="0" xfId="0" applyNumberFormat="1" applyFont="1" applyFill="1" applyBorder="1" applyAlignment="1" applyProtection="1">
      <alignment horizontal="right"/>
    </xf>
    <xf numFmtId="0" fontId="22" fillId="0" borderId="0" xfId="0" applyFont="1" applyBorder="1" applyAlignment="1" applyProtection="1">
      <alignment horizontal="left" vertical="center" wrapText="1"/>
    </xf>
    <xf numFmtId="0" fontId="22" fillId="0" borderId="5" xfId="0" applyFont="1" applyBorder="1" applyAlignment="1" applyProtection="1">
      <alignment horizontal="left" vertical="center" wrapText="1"/>
    </xf>
    <xf numFmtId="0" fontId="38" fillId="0" borderId="6" xfId="0" applyFont="1" applyBorder="1" applyAlignment="1" applyProtection="1">
      <alignment horizontal="center" vertical="center" wrapText="1"/>
    </xf>
    <xf numFmtId="0" fontId="38" fillId="0" borderId="7" xfId="0" applyFont="1" applyBorder="1" applyAlignment="1" applyProtection="1">
      <alignment horizontal="center" vertical="center" wrapText="1"/>
    </xf>
    <xf numFmtId="0" fontId="38" fillId="0" borderId="10" xfId="0" applyFont="1" applyBorder="1" applyAlignment="1" applyProtection="1">
      <alignment horizontal="center" vertical="center" wrapText="1"/>
    </xf>
    <xf numFmtId="0" fontId="5" fillId="4" borderId="46" xfId="0" applyFont="1" applyFill="1" applyBorder="1" applyAlignment="1" applyProtection="1">
      <alignment horizontal="center" vertical="center" wrapText="1"/>
    </xf>
    <xf numFmtId="0" fontId="9" fillId="0" borderId="4" xfId="0" applyFont="1" applyBorder="1" applyAlignment="1" applyProtection="1">
      <alignment vertical="center" wrapText="1"/>
    </xf>
    <xf numFmtId="0" fontId="2" fillId="0" borderId="4" xfId="0" applyFont="1" applyBorder="1" applyAlignment="1" applyProtection="1">
      <alignment wrapText="1"/>
    </xf>
    <xf numFmtId="0" fontId="2" fillId="0" borderId="24" xfId="0" applyFont="1" applyBorder="1" applyAlignment="1" applyProtection="1">
      <alignment wrapText="1"/>
    </xf>
    <xf numFmtId="0" fontId="2" fillId="0" borderId="18" xfId="0" applyFont="1" applyBorder="1" applyAlignment="1" applyProtection="1">
      <alignment horizontal="left" wrapText="1"/>
    </xf>
    <xf numFmtId="0" fontId="2" fillId="0" borderId="20" xfId="0" applyFont="1" applyBorder="1" applyAlignment="1" applyProtection="1">
      <alignment horizontal="left" wrapText="1"/>
    </xf>
    <xf numFmtId="0" fontId="9" fillId="0" borderId="0" xfId="0" applyFont="1" applyAlignment="1" applyProtection="1">
      <alignment horizontal="left" vertical="top" indent="1"/>
    </xf>
    <xf numFmtId="0" fontId="31" fillId="0" borderId="0" xfId="0" applyFont="1" applyFill="1" applyAlignment="1">
      <alignment vertical="center"/>
    </xf>
    <xf numFmtId="4" fontId="67" fillId="0" borderId="0" xfId="0" applyNumberFormat="1" applyFont="1" applyFill="1" applyBorder="1" applyAlignment="1">
      <alignment horizontal="center" vertical="center"/>
    </xf>
    <xf numFmtId="0" fontId="9" fillId="3" borderId="7" xfId="0" applyFont="1" applyFill="1" applyBorder="1" applyProtection="1">
      <protection hidden="1"/>
    </xf>
    <xf numFmtId="0" fontId="9" fillId="3" borderId="10" xfId="0" applyFont="1" applyFill="1" applyBorder="1" applyProtection="1">
      <protection hidden="1"/>
    </xf>
    <xf numFmtId="0" fontId="59" fillId="0" borderId="0" xfId="0" applyFont="1" applyBorder="1" applyAlignment="1" applyProtection="1">
      <alignment vertical="center"/>
    </xf>
    <xf numFmtId="0" fontId="59" fillId="0" borderId="2" xfId="0" applyFont="1" applyFill="1" applyBorder="1" applyAlignment="1" applyProtection="1">
      <alignment vertical="center"/>
    </xf>
    <xf numFmtId="0" fontId="62" fillId="0" borderId="0" xfId="0" applyFont="1" applyFill="1" applyAlignment="1" applyProtection="1">
      <alignment vertical="center"/>
    </xf>
    <xf numFmtId="0" fontId="62" fillId="0" borderId="0" xfId="0" applyFont="1" applyAlignment="1" applyProtection="1">
      <alignment vertical="center"/>
    </xf>
    <xf numFmtId="0" fontId="62" fillId="0" borderId="5" xfId="0" applyFont="1" applyFill="1" applyBorder="1" applyAlignment="1" applyProtection="1">
      <alignment vertical="center"/>
    </xf>
    <xf numFmtId="0" fontId="62" fillId="0" borderId="0" xfId="0" applyFont="1" applyBorder="1" applyAlignment="1" applyProtection="1">
      <alignment vertical="center"/>
    </xf>
    <xf numFmtId="0" fontId="62" fillId="0" borderId="5" xfId="0" applyFont="1" applyFill="1" applyBorder="1" applyAlignment="1" applyProtection="1">
      <alignment horizontal="center" vertical="center"/>
    </xf>
    <xf numFmtId="9" fontId="62" fillId="0" borderId="5" xfId="2" applyFont="1" applyFill="1" applyBorder="1" applyAlignment="1" applyProtection="1">
      <alignment vertical="center"/>
    </xf>
    <xf numFmtId="9" fontId="62" fillId="0" borderId="5" xfId="0" applyNumberFormat="1" applyFont="1" applyFill="1" applyBorder="1" applyAlignment="1" applyProtection="1">
      <alignment vertical="center"/>
    </xf>
    <xf numFmtId="186" fontId="62" fillId="0" borderId="5" xfId="0" applyNumberFormat="1" applyFont="1" applyFill="1" applyBorder="1" applyAlignment="1" applyProtection="1">
      <alignment horizontal="center" vertical="center"/>
    </xf>
    <xf numFmtId="0" fontId="9" fillId="0" borderId="0" xfId="0" applyFont="1" applyProtection="1">
      <protection hidden="1"/>
    </xf>
    <xf numFmtId="0" fontId="9" fillId="0" borderId="0" xfId="0" applyFont="1" applyFill="1" applyProtection="1">
      <protection hidden="1"/>
    </xf>
    <xf numFmtId="0" fontId="33" fillId="0" borderId="0" xfId="0" applyFont="1" applyFill="1" applyProtection="1">
      <protection hidden="1"/>
    </xf>
    <xf numFmtId="0" fontId="9" fillId="0" borderId="40" xfId="0" applyFont="1" applyFill="1" applyBorder="1" applyProtection="1">
      <protection hidden="1"/>
    </xf>
    <xf numFmtId="0" fontId="9" fillId="0" borderId="29" xfId="0" applyFont="1" applyFill="1" applyBorder="1" applyProtection="1">
      <protection hidden="1"/>
    </xf>
    <xf numFmtId="0" fontId="9" fillId="0" borderId="41" xfId="0" applyFont="1" applyFill="1" applyBorder="1" applyProtection="1">
      <protection hidden="1"/>
    </xf>
    <xf numFmtId="173" fontId="9" fillId="0" borderId="0" xfId="0" applyNumberFormat="1" applyFont="1" applyFill="1" applyProtection="1">
      <protection hidden="1"/>
    </xf>
    <xf numFmtId="0" fontId="9" fillId="0" borderId="13" xfId="0" applyFont="1" applyFill="1" applyBorder="1" applyProtection="1">
      <protection hidden="1"/>
    </xf>
    <xf numFmtId="0" fontId="33" fillId="0" borderId="0" xfId="0" applyFont="1" applyFill="1" applyBorder="1" applyProtection="1">
      <protection hidden="1"/>
    </xf>
    <xf numFmtId="0" fontId="9" fillId="0" borderId="28" xfId="0" applyFont="1" applyFill="1" applyBorder="1" applyProtection="1">
      <protection hidden="1"/>
    </xf>
    <xf numFmtId="0" fontId="9" fillId="0" borderId="41" xfId="0" applyFont="1" applyFill="1" applyBorder="1" applyProtection="1"/>
    <xf numFmtId="0" fontId="9" fillId="0" borderId="18" xfId="0" applyFont="1" applyFill="1" applyBorder="1" applyProtection="1"/>
    <xf numFmtId="0" fontId="9" fillId="0" borderId="29" xfId="0" applyFont="1" applyFill="1" applyBorder="1" applyProtection="1"/>
    <xf numFmtId="0" fontId="33" fillId="0" borderId="0" xfId="0" applyFont="1" applyFill="1" applyBorder="1" applyProtection="1"/>
    <xf numFmtId="0" fontId="9" fillId="0" borderId="18" xfId="0" applyFont="1" applyFill="1" applyBorder="1" applyAlignment="1" applyProtection="1">
      <alignment horizontal="right"/>
    </xf>
    <xf numFmtId="0" fontId="9" fillId="0" borderId="28" xfId="0" applyFont="1" applyFill="1" applyBorder="1" applyProtection="1"/>
    <xf numFmtId="0" fontId="9" fillId="0" borderId="0" xfId="0" applyFont="1" applyFill="1" applyBorder="1" applyAlignment="1" applyProtection="1">
      <alignment horizontal="right"/>
      <protection hidden="1"/>
    </xf>
    <xf numFmtId="0" fontId="9" fillId="0" borderId="18" xfId="0" applyFont="1" applyFill="1" applyBorder="1" applyProtection="1">
      <protection hidden="1"/>
    </xf>
    <xf numFmtId="0" fontId="9" fillId="0" borderId="18" xfId="0" applyFont="1" applyFill="1" applyBorder="1" applyAlignment="1" applyProtection="1">
      <alignment horizontal="right"/>
      <protection hidden="1"/>
    </xf>
    <xf numFmtId="0" fontId="33" fillId="0" borderId="18" xfId="0" applyFont="1" applyFill="1" applyBorder="1" applyProtection="1">
      <protection hidden="1"/>
    </xf>
    <xf numFmtId="0" fontId="33" fillId="0" borderId="30" xfId="0" applyFont="1" applyFill="1" applyBorder="1" applyProtection="1">
      <protection hidden="1"/>
    </xf>
    <xf numFmtId="167" fontId="9" fillId="0" borderId="0" xfId="0" applyNumberFormat="1" applyFont="1" applyFill="1" applyBorder="1" applyProtection="1">
      <protection hidden="1"/>
    </xf>
    <xf numFmtId="0" fontId="33" fillId="0" borderId="29" xfId="0" applyFont="1" applyFill="1" applyBorder="1" applyProtection="1">
      <protection hidden="1"/>
    </xf>
    <xf numFmtId="0" fontId="33" fillId="0" borderId="41" xfId="0" applyFont="1" applyFill="1" applyBorder="1" applyProtection="1">
      <protection hidden="1"/>
    </xf>
    <xf numFmtId="0" fontId="9" fillId="0" borderId="19" xfId="0" applyFont="1" applyFill="1" applyBorder="1" applyProtection="1">
      <protection hidden="1"/>
    </xf>
    <xf numFmtId="0" fontId="33" fillId="0" borderId="19" xfId="0" applyFont="1" applyFill="1" applyBorder="1" applyProtection="1">
      <protection hidden="1"/>
    </xf>
    <xf numFmtId="0" fontId="2" fillId="0" borderId="0" xfId="0" applyFont="1" applyFill="1" applyBorder="1" applyAlignment="1" applyProtection="1">
      <alignment horizontal="left" vertical="center" wrapText="1"/>
      <protection hidden="1"/>
    </xf>
    <xf numFmtId="0" fontId="9" fillId="0" borderId="32" xfId="0" applyFont="1" applyFill="1" applyBorder="1" applyProtection="1">
      <protection hidden="1"/>
    </xf>
    <xf numFmtId="0" fontId="2" fillId="0" borderId="30" xfId="0" applyFont="1" applyFill="1" applyBorder="1" applyAlignment="1" applyProtection="1">
      <alignment horizontal="left" vertical="center" wrapText="1"/>
      <protection hidden="1"/>
    </xf>
    <xf numFmtId="0" fontId="2" fillId="0" borderId="31" xfId="0" applyFont="1" applyFill="1" applyBorder="1" applyAlignment="1" applyProtection="1">
      <alignment horizontal="left" vertical="center" wrapText="1"/>
      <protection hidden="1"/>
    </xf>
    <xf numFmtId="0" fontId="2" fillId="0" borderId="13" xfId="0" applyFont="1" applyFill="1" applyBorder="1" applyAlignment="1" applyProtection="1">
      <alignment horizontal="left" vertical="center" wrapText="1"/>
      <protection hidden="1"/>
    </xf>
    <xf numFmtId="0" fontId="2" fillId="0" borderId="40" xfId="0" applyFont="1" applyFill="1" applyBorder="1" applyAlignment="1" applyProtection="1">
      <alignment horizontal="left" vertical="center" wrapText="1"/>
      <protection hidden="1"/>
    </xf>
    <xf numFmtId="0" fontId="9" fillId="0" borderId="0" xfId="0" applyFont="1" applyBorder="1" applyProtection="1">
      <protection hidden="1"/>
    </xf>
    <xf numFmtId="0" fontId="33" fillId="0" borderId="0" xfId="0" applyFont="1" applyBorder="1" applyProtection="1">
      <protection hidden="1"/>
    </xf>
    <xf numFmtId="0" fontId="9" fillId="0" borderId="0" xfId="0" applyFont="1" applyAlignment="1" applyProtection="1">
      <alignment horizontal="right"/>
      <protection hidden="1"/>
    </xf>
    <xf numFmtId="174" fontId="9" fillId="0" borderId="0" xfId="0" applyNumberFormat="1" applyFont="1" applyProtection="1">
      <protection hidden="1"/>
    </xf>
    <xf numFmtId="0" fontId="9" fillId="0" borderId="0" xfId="0" applyFont="1" applyBorder="1" applyAlignment="1" applyProtection="1">
      <alignment horizontal="right"/>
      <protection hidden="1"/>
    </xf>
    <xf numFmtId="167" fontId="9" fillId="0" borderId="0" xfId="0" applyNumberFormat="1" applyFont="1" applyBorder="1" applyProtection="1">
      <protection hidden="1"/>
    </xf>
    <xf numFmtId="0" fontId="9" fillId="0" borderId="0" xfId="0" applyFont="1" applyBorder="1" applyAlignment="1" applyProtection="1">
      <alignment horizontal="right"/>
    </xf>
    <xf numFmtId="0" fontId="2" fillId="0" borderId="5" xfId="0" applyFont="1" applyFill="1" applyBorder="1" applyAlignment="1" applyProtection="1">
      <alignment horizontal="left"/>
    </xf>
    <xf numFmtId="0" fontId="25" fillId="0" borderId="0" xfId="0" applyFont="1" applyBorder="1" applyAlignment="1" applyProtection="1">
      <alignment horizontal="right"/>
    </xf>
    <xf numFmtId="189" fontId="25" fillId="0" borderId="5" xfId="0" applyNumberFormat="1" applyFont="1" applyBorder="1" applyAlignment="1" applyProtection="1">
      <alignment horizontal="left"/>
    </xf>
    <xf numFmtId="0" fontId="0" fillId="0" borderId="0" xfId="0" applyFill="1" applyBorder="1" applyAlignment="1" applyProtection="1"/>
    <xf numFmtId="0" fontId="0" fillId="0" borderId="5" xfId="0" applyFill="1" applyBorder="1" applyAlignment="1" applyProtection="1"/>
    <xf numFmtId="0" fontId="9" fillId="0" borderId="18" xfId="0" applyFont="1" applyBorder="1" applyAlignment="1" applyProtection="1">
      <alignment horizontal="right"/>
    </xf>
    <xf numFmtId="0" fontId="2" fillId="0" borderId="13" xfId="0" applyFont="1" applyFill="1" applyBorder="1" applyAlignment="1" applyProtection="1">
      <alignment horizontal="left"/>
    </xf>
    <xf numFmtId="0" fontId="2" fillId="0" borderId="14" xfId="0" applyFont="1" applyFill="1" applyBorder="1" applyAlignment="1" applyProtection="1">
      <alignment horizontal="left"/>
    </xf>
    <xf numFmtId="0" fontId="62" fillId="0" borderId="0" xfId="0" applyFont="1" applyAlignment="1" applyProtection="1">
      <alignment vertical="center"/>
      <protection locked="0"/>
    </xf>
    <xf numFmtId="0" fontId="59" fillId="0" borderId="0" xfId="0" applyFont="1" applyAlignment="1" applyProtection="1">
      <alignment vertical="center"/>
      <protection locked="0"/>
    </xf>
    <xf numFmtId="0" fontId="0" fillId="3" borderId="7" xfId="0" applyFill="1" applyBorder="1" applyProtection="1"/>
    <xf numFmtId="0" fontId="0" fillId="0" borderId="2" xfId="0" applyFill="1" applyBorder="1" applyProtection="1"/>
    <xf numFmtId="9" fontId="62" fillId="0" borderId="5" xfId="2" applyFont="1" applyFill="1" applyBorder="1" applyAlignment="1" applyProtection="1">
      <alignment horizontal="center" vertical="center"/>
    </xf>
    <xf numFmtId="3" fontId="62" fillId="0" borderId="5" xfId="2" applyNumberFormat="1" applyFont="1" applyFill="1" applyBorder="1" applyAlignment="1" applyProtection="1">
      <alignment horizontal="center" vertical="center"/>
    </xf>
    <xf numFmtId="9" fontId="62" fillId="0" borderId="5" xfId="0" applyNumberFormat="1" applyFont="1" applyFill="1" applyBorder="1" applyAlignment="1" applyProtection="1">
      <alignment horizontal="center" vertical="center"/>
    </xf>
    <xf numFmtId="0" fontId="59" fillId="0" borderId="5" xfId="0" applyFont="1" applyFill="1" applyBorder="1" applyAlignment="1" applyProtection="1">
      <alignment vertical="center"/>
    </xf>
    <xf numFmtId="186" fontId="59" fillId="0" borderId="5" xfId="0" applyNumberFormat="1" applyFont="1" applyFill="1" applyBorder="1" applyAlignment="1" applyProtection="1">
      <alignment horizontal="center" vertical="center"/>
    </xf>
    <xf numFmtId="0" fontId="59" fillId="0" borderId="10" xfId="0" applyFont="1" applyFill="1" applyBorder="1" applyAlignment="1" applyProtection="1">
      <alignment vertical="center"/>
    </xf>
    <xf numFmtId="0" fontId="23" fillId="3" borderId="22" xfId="0" applyFont="1" applyFill="1" applyBorder="1" applyAlignment="1">
      <alignment horizontal="center" vertical="center"/>
    </xf>
    <xf numFmtId="0" fontId="2" fillId="0" borderId="1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9" fillId="0" borderId="42" xfId="0" applyFont="1" applyFill="1" applyBorder="1" applyProtection="1"/>
    <xf numFmtId="0" fontId="21" fillId="0" borderId="0" xfId="0" applyFont="1" applyBorder="1" applyAlignment="1">
      <alignment horizontal="right" vertical="top"/>
    </xf>
    <xf numFmtId="0" fontId="22" fillId="0" borderId="0" xfId="0" applyFont="1" applyFill="1" applyBorder="1" applyAlignment="1" applyProtection="1">
      <alignment horizontal="left"/>
    </xf>
    <xf numFmtId="0" fontId="30" fillId="0" borderId="7" xfId="0" applyFont="1" applyFill="1" applyBorder="1" applyAlignment="1" applyProtection="1">
      <alignment horizontal="right" vertical="center"/>
    </xf>
    <xf numFmtId="0" fontId="0" fillId="0" borderId="10" xfId="0" applyFill="1" applyBorder="1" applyProtection="1"/>
    <xf numFmtId="0" fontId="23" fillId="0" borderId="0" xfId="0" applyFont="1" applyFill="1" applyBorder="1" applyAlignment="1">
      <alignment horizontal="center" vertical="center"/>
    </xf>
    <xf numFmtId="0" fontId="9" fillId="0" borderId="35" xfId="0" applyFont="1" applyFill="1" applyBorder="1" applyProtection="1">
      <protection locked="0"/>
    </xf>
    <xf numFmtId="191" fontId="2" fillId="5" borderId="44" xfId="0" applyNumberFormat="1" applyFont="1" applyFill="1" applyBorder="1" applyAlignment="1" applyProtection="1">
      <alignment horizontal="left"/>
      <protection locked="0"/>
    </xf>
    <xf numFmtId="0" fontId="2" fillId="0" borderId="0" xfId="0" applyFont="1" applyBorder="1" applyAlignment="1">
      <alignment horizontal="right"/>
    </xf>
    <xf numFmtId="0" fontId="9" fillId="0" borderId="0" xfId="0" applyFont="1" applyBorder="1" applyAlignment="1">
      <alignment horizontal="right"/>
    </xf>
    <xf numFmtId="1" fontId="34" fillId="0" borderId="32" xfId="0" applyNumberFormat="1" applyFont="1" applyBorder="1" applyProtection="1">
      <protection hidden="1"/>
    </xf>
    <xf numFmtId="1" fontId="34" fillId="0" borderId="0" xfId="0" applyNumberFormat="1" applyFont="1" applyFill="1" applyBorder="1" applyProtection="1">
      <protection hidden="1"/>
    </xf>
    <xf numFmtId="0" fontId="9" fillId="0" borderId="4" xfId="0" applyFont="1" applyBorder="1" applyAlignment="1">
      <alignment horizontal="right"/>
    </xf>
    <xf numFmtId="0" fontId="77" fillId="0" borderId="0" xfId="0" applyFont="1" applyBorder="1" applyAlignment="1">
      <alignment horizontal="right"/>
    </xf>
    <xf numFmtId="0" fontId="2" fillId="0" borderId="0" xfId="0" applyFont="1" applyFill="1" applyBorder="1" applyAlignment="1" applyProtection="1">
      <alignment horizontal="right"/>
    </xf>
    <xf numFmtId="176" fontId="9" fillId="0" borderId="0" xfId="0" applyNumberFormat="1" applyFont="1" applyFill="1" applyBorder="1" applyProtection="1">
      <protection hidden="1"/>
    </xf>
    <xf numFmtId="0" fontId="9" fillId="0" borderId="0" xfId="0" applyFont="1" applyFill="1" applyBorder="1" applyAlignment="1" applyProtection="1">
      <alignment horizontal="center"/>
      <protection locked="0" hidden="1"/>
    </xf>
    <xf numFmtId="0" fontId="2" fillId="0" borderId="0" xfId="0" applyFont="1" applyBorder="1" applyAlignment="1">
      <alignment horizontal="right"/>
    </xf>
    <xf numFmtId="0" fontId="2" fillId="0" borderId="0" xfId="0" applyFont="1" applyBorder="1" applyAlignment="1">
      <alignment horizontal="left" wrapText="1"/>
    </xf>
    <xf numFmtId="192" fontId="9" fillId="0" borderId="0" xfId="0" applyNumberFormat="1" applyFont="1" applyFill="1" applyBorder="1" applyProtection="1">
      <protection hidden="1"/>
    </xf>
    <xf numFmtId="176" fontId="9" fillId="0" borderId="0" xfId="0" applyNumberFormat="1" applyFont="1" applyFill="1" applyProtection="1">
      <protection hidden="1"/>
    </xf>
    <xf numFmtId="2" fontId="9" fillId="0" borderId="0" xfId="0" applyNumberFormat="1" applyFont="1" applyFill="1" applyProtection="1">
      <protection hidden="1"/>
    </xf>
    <xf numFmtId="0" fontId="29" fillId="0" borderId="0" xfId="0" applyFont="1" applyFill="1" applyBorder="1"/>
    <xf numFmtId="0" fontId="30" fillId="0" borderId="0" xfId="0" applyFont="1" applyFill="1" applyBorder="1"/>
    <xf numFmtId="179" fontId="2" fillId="5" borderId="28" xfId="0" applyNumberFormat="1" applyFont="1" applyFill="1" applyBorder="1" applyAlignment="1" applyProtection="1">
      <protection locked="0"/>
    </xf>
    <xf numFmtId="4" fontId="9" fillId="0" borderId="0" xfId="0" applyNumberFormat="1" applyFont="1" applyFill="1" applyBorder="1" applyProtection="1">
      <protection hidden="1"/>
    </xf>
    <xf numFmtId="179" fontId="9" fillId="0" borderId="5" xfId="0" applyNumberFormat="1" applyFont="1" applyFill="1" applyBorder="1" applyProtection="1">
      <protection locked="0"/>
    </xf>
    <xf numFmtId="0" fontId="9" fillId="0" borderId="0" xfId="0" applyFont="1" applyFill="1" applyBorder="1" applyAlignment="1" applyProtection="1">
      <alignment horizontal="center"/>
      <protection hidden="1"/>
    </xf>
    <xf numFmtId="0" fontId="22" fillId="0" borderId="0" xfId="0" applyFont="1"/>
    <xf numFmtId="0" fontId="12" fillId="0" borderId="1" xfId="0" applyFont="1" applyBorder="1" applyAlignment="1">
      <alignment vertical="center"/>
    </xf>
    <xf numFmtId="0" fontId="12" fillId="0" borderId="2" xfId="0" applyFont="1" applyBorder="1" applyAlignment="1">
      <alignment vertical="center"/>
    </xf>
    <xf numFmtId="0" fontId="0" fillId="0" borderId="0" xfId="0" applyAlignment="1">
      <alignment horizontal="left"/>
    </xf>
    <xf numFmtId="0" fontId="0" fillId="0" borderId="5" xfId="0" applyFill="1" applyBorder="1" applyAlignment="1" applyProtection="1">
      <alignment horizontal="right"/>
    </xf>
    <xf numFmtId="193" fontId="9" fillId="0" borderId="0" xfId="0" applyNumberFormat="1" applyFont="1" applyFill="1" applyProtection="1">
      <protection locked="0" hidden="1"/>
    </xf>
    <xf numFmtId="195" fontId="59" fillId="0" borderId="0" xfId="0" applyNumberFormat="1" applyFont="1" applyAlignment="1">
      <alignment vertical="center"/>
    </xf>
    <xf numFmtId="0" fontId="59" fillId="0" borderId="46" xfId="0" applyFont="1" applyBorder="1" applyAlignment="1">
      <alignment vertical="center"/>
    </xf>
    <xf numFmtId="176" fontId="9" fillId="5" borderId="35" xfId="0" applyNumberFormat="1" applyFont="1" applyFill="1" applyBorder="1" applyProtection="1">
      <protection locked="0"/>
    </xf>
    <xf numFmtId="0" fontId="59" fillId="7" borderId="11" xfId="0" applyFont="1" applyFill="1" applyBorder="1" applyAlignment="1">
      <alignment vertical="center"/>
    </xf>
    <xf numFmtId="0" fontId="59" fillId="7" borderId="12" xfId="0" applyFont="1" applyFill="1" applyBorder="1" applyAlignment="1">
      <alignment vertical="center"/>
    </xf>
    <xf numFmtId="186" fontId="60" fillId="7" borderId="22" xfId="0" applyNumberFormat="1" applyFont="1" applyFill="1" applyBorder="1" applyAlignment="1">
      <alignment vertical="center"/>
    </xf>
    <xf numFmtId="0" fontId="60" fillId="7" borderId="22" xfId="0" applyFont="1" applyFill="1" applyBorder="1" applyAlignment="1">
      <alignment vertical="center"/>
    </xf>
    <xf numFmtId="0" fontId="9" fillId="9" borderId="0" xfId="0" applyFont="1" applyFill="1" applyBorder="1" applyProtection="1">
      <protection locked="0" hidden="1"/>
    </xf>
    <xf numFmtId="0" fontId="31" fillId="0" borderId="0" xfId="0" applyFont="1" applyBorder="1" applyAlignment="1">
      <alignment vertical="center"/>
    </xf>
    <xf numFmtId="0" fontId="31" fillId="0" borderId="0" xfId="0" applyFont="1" applyFill="1" applyBorder="1" applyAlignment="1"/>
    <xf numFmtId="0" fontId="31" fillId="0" borderId="0" xfId="0" applyFont="1" applyFill="1" applyBorder="1" applyAlignment="1">
      <alignment vertical="center"/>
    </xf>
    <xf numFmtId="3" fontId="31" fillId="0" borderId="0" xfId="0" applyNumberFormat="1" applyFont="1" applyFill="1" applyBorder="1" applyAlignment="1">
      <alignment vertical="center"/>
    </xf>
    <xf numFmtId="194" fontId="31" fillId="0" borderId="0" xfId="0" applyNumberFormat="1" applyFont="1" applyFill="1" applyBorder="1" applyAlignment="1">
      <alignment vertical="center"/>
    </xf>
    <xf numFmtId="197" fontId="31" fillId="0" borderId="0" xfId="0" applyNumberFormat="1" applyFont="1" applyFill="1" applyBorder="1" applyAlignment="1">
      <alignment vertical="center"/>
    </xf>
    <xf numFmtId="1" fontId="31" fillId="0" borderId="0" xfId="0" applyNumberFormat="1" applyFont="1" applyFill="1" applyBorder="1" applyAlignment="1">
      <alignment vertical="center"/>
    </xf>
    <xf numFmtId="198" fontId="31" fillId="0" borderId="0" xfId="0" applyNumberFormat="1" applyFont="1" applyFill="1" applyBorder="1" applyAlignment="1">
      <alignment vertical="center"/>
    </xf>
    <xf numFmtId="0" fontId="31" fillId="0" borderId="4" xfId="0" applyFont="1" applyFill="1" applyBorder="1" applyAlignment="1">
      <alignment vertical="center"/>
    </xf>
    <xf numFmtId="0" fontId="31" fillId="0" borderId="4" xfId="0" applyFont="1" applyFill="1" applyBorder="1" applyAlignment="1" applyProtection="1">
      <alignment vertical="center"/>
    </xf>
    <xf numFmtId="0" fontId="31" fillId="0" borderId="4" xfId="0" applyFont="1" applyFill="1" applyBorder="1" applyAlignment="1" applyProtection="1">
      <alignment horizontal="left" vertical="center"/>
    </xf>
    <xf numFmtId="0" fontId="64" fillId="0" borderId="0" xfId="0" applyFont="1" applyFill="1" applyAlignment="1">
      <alignment vertical="center"/>
    </xf>
    <xf numFmtId="186" fontId="64" fillId="0" borderId="0" xfId="0" applyNumberFormat="1" applyFont="1" applyFill="1" applyAlignment="1">
      <alignment vertical="center"/>
    </xf>
    <xf numFmtId="186" fontId="60" fillId="0" borderId="4" xfId="0" applyNumberFormat="1" applyFont="1" applyFill="1" applyBorder="1" applyAlignment="1"/>
    <xf numFmtId="186" fontId="60" fillId="0" borderId="0" xfId="0" applyNumberFormat="1" applyFont="1" applyFill="1" applyBorder="1" applyAlignment="1"/>
    <xf numFmtId="186" fontId="60" fillId="0" borderId="5" xfId="0" applyNumberFormat="1" applyFont="1" applyFill="1" applyBorder="1" applyAlignment="1"/>
    <xf numFmtId="176" fontId="2" fillId="0" borderId="5" xfId="0" applyNumberFormat="1" applyFont="1" applyFill="1" applyBorder="1"/>
    <xf numFmtId="0" fontId="2" fillId="0" borderId="5" xfId="0" applyFont="1" applyFill="1" applyBorder="1"/>
    <xf numFmtId="194" fontId="31" fillId="0" borderId="0" xfId="3" applyNumberFormat="1" applyFont="1" applyFill="1" applyBorder="1" applyAlignment="1">
      <alignment horizontal="right" vertical="center"/>
    </xf>
    <xf numFmtId="0" fontId="31" fillId="0" borderId="0" xfId="0" applyFont="1" applyFill="1" applyBorder="1" applyAlignment="1" applyProtection="1">
      <alignment vertical="center"/>
    </xf>
    <xf numFmtId="0" fontId="31" fillId="0" borderId="0" xfId="0" applyFont="1" applyFill="1" applyAlignment="1" applyProtection="1">
      <alignment vertical="center"/>
    </xf>
    <xf numFmtId="186" fontId="31"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xf>
    <xf numFmtId="0" fontId="12" fillId="0" borderId="9" xfId="0" applyFont="1" applyBorder="1" applyAlignment="1">
      <alignment vertical="center"/>
    </xf>
    <xf numFmtId="0" fontId="9" fillId="0" borderId="0" xfId="0" applyFont="1"/>
    <xf numFmtId="0" fontId="59" fillId="3" borderId="0" xfId="0" applyFont="1" applyFill="1" applyAlignment="1">
      <alignment vertical="center"/>
    </xf>
    <xf numFmtId="0" fontId="81" fillId="0" borderId="0" xfId="0" applyFont="1" applyFill="1" applyAlignment="1">
      <alignment vertical="center"/>
    </xf>
    <xf numFmtId="0" fontId="33" fillId="0" borderId="0" xfId="0" applyFont="1" applyFill="1" applyAlignment="1">
      <alignment vertical="center"/>
    </xf>
    <xf numFmtId="196" fontId="31" fillId="0" borderId="0" xfId="0" applyNumberFormat="1" applyFont="1" applyFill="1" applyAlignment="1">
      <alignment vertical="center"/>
    </xf>
    <xf numFmtId="0" fontId="67" fillId="0" borderId="0" xfId="0" applyFont="1" applyFill="1" applyBorder="1" applyAlignment="1">
      <alignment horizontal="center" vertical="center"/>
    </xf>
    <xf numFmtId="0" fontId="67" fillId="0" borderId="0" xfId="0" applyFont="1" applyFill="1" applyAlignment="1">
      <alignment vertical="center"/>
    </xf>
    <xf numFmtId="186" fontId="67" fillId="0" borderId="0" xfId="0" applyNumberFormat="1" applyFont="1" applyFill="1" applyBorder="1" applyAlignment="1">
      <alignment horizontal="center" vertical="center"/>
    </xf>
    <xf numFmtId="195" fontId="67" fillId="0" borderId="0" xfId="0" applyNumberFormat="1" applyFont="1" applyFill="1" applyAlignment="1">
      <alignment vertical="center"/>
    </xf>
    <xf numFmtId="176" fontId="9" fillId="5" borderId="42" xfId="0" applyNumberFormat="1" applyFont="1" applyFill="1" applyBorder="1" applyProtection="1">
      <protection locked="0"/>
    </xf>
    <xf numFmtId="0" fontId="2" fillId="0" borderId="0" xfId="0" applyFont="1" applyFill="1" applyBorder="1" applyAlignment="1" applyProtection="1"/>
    <xf numFmtId="0" fontId="0" fillId="0" borderId="5" xfId="0" applyFill="1" applyBorder="1" applyProtection="1"/>
    <xf numFmtId="176" fontId="31" fillId="0" borderId="5" xfId="0" applyNumberFormat="1" applyFont="1" applyFill="1" applyBorder="1"/>
    <xf numFmtId="0" fontId="62" fillId="0" borderId="30" xfId="0" applyFont="1" applyBorder="1" applyAlignment="1">
      <alignment vertical="center"/>
    </xf>
    <xf numFmtId="185" fontId="83" fillId="0" borderId="0" xfId="2" applyNumberFormat="1" applyFont="1"/>
    <xf numFmtId="0" fontId="30" fillId="3" borderId="6" xfId="0" applyFont="1" applyFill="1" applyBorder="1" applyAlignment="1">
      <alignment vertical="top"/>
    </xf>
    <xf numFmtId="0" fontId="30" fillId="3" borderId="7" xfId="0" applyFont="1" applyFill="1" applyBorder="1" applyAlignment="1">
      <alignment vertical="top"/>
    </xf>
    <xf numFmtId="0" fontId="30" fillId="3" borderId="10" xfId="0" applyFont="1" applyFill="1" applyBorder="1" applyAlignment="1" applyProtection="1">
      <alignment horizontal="left" vertical="top"/>
    </xf>
    <xf numFmtId="0" fontId="9" fillId="0" borderId="0" xfId="0" applyFont="1" applyFill="1" applyBorder="1" applyAlignment="1">
      <alignment horizontal="left" wrapText="1"/>
    </xf>
    <xf numFmtId="0" fontId="60" fillId="4" borderId="22" xfId="0" applyFont="1" applyFill="1" applyBorder="1" applyAlignment="1">
      <alignment vertical="center"/>
    </xf>
    <xf numFmtId="0" fontId="60" fillId="4" borderId="11" xfId="0" applyFont="1" applyFill="1" applyBorder="1" applyAlignment="1">
      <alignment vertical="center"/>
    </xf>
    <xf numFmtId="0" fontId="60" fillId="4" borderId="12" xfId="0" applyFont="1" applyFill="1" applyBorder="1" applyAlignment="1">
      <alignment vertical="center"/>
    </xf>
    <xf numFmtId="0" fontId="9" fillId="0" borderId="2" xfId="0" applyFont="1" applyBorder="1"/>
    <xf numFmtId="0" fontId="9" fillId="0" borderId="17" xfId="0" applyFont="1" applyBorder="1"/>
    <xf numFmtId="0" fontId="0" fillId="0" borderId="46" xfId="0" applyBorder="1"/>
    <xf numFmtId="0" fontId="9" fillId="0" borderId="5" xfId="0" applyFont="1" applyBorder="1"/>
    <xf numFmtId="0" fontId="9" fillId="0" borderId="3" xfId="0" applyFont="1" applyBorder="1"/>
    <xf numFmtId="0" fontId="9" fillId="0" borderId="3" xfId="0" applyFont="1" applyFill="1" applyBorder="1"/>
    <xf numFmtId="0" fontId="0" fillId="0" borderId="3" xfId="0" applyBorder="1"/>
    <xf numFmtId="0" fontId="0" fillId="0" borderId="8" xfId="0" applyBorder="1"/>
    <xf numFmtId="0" fontId="9" fillId="0" borderId="5" xfId="0" applyFont="1" applyFill="1" applyBorder="1"/>
    <xf numFmtId="0" fontId="9" fillId="0" borderId="46" xfId="0" applyFont="1" applyBorder="1" applyAlignment="1">
      <alignment horizontal="center"/>
    </xf>
    <xf numFmtId="0" fontId="0" fillId="0" borderId="46" xfId="0" applyBorder="1" applyAlignment="1">
      <alignment horizontal="center"/>
    </xf>
    <xf numFmtId="0" fontId="9" fillId="0" borderId="1" xfId="0" applyFont="1" applyBorder="1"/>
    <xf numFmtId="0" fontId="9" fillId="0" borderId="0" xfId="0" applyFont="1" applyBorder="1"/>
    <xf numFmtId="0" fontId="12" fillId="0" borderId="0" xfId="0" applyFont="1" applyBorder="1" applyAlignment="1">
      <alignment horizontal="left" vertical="center"/>
    </xf>
    <xf numFmtId="0" fontId="35" fillId="0" borderId="4" xfId="0" applyFont="1" applyBorder="1"/>
    <xf numFmtId="0" fontId="35" fillId="0" borderId="22" xfId="0" applyFont="1" applyBorder="1"/>
    <xf numFmtId="0" fontId="12" fillId="0" borderId="11" xfId="0" applyFont="1" applyBorder="1" applyAlignment="1">
      <alignment horizontal="left" vertical="center"/>
    </xf>
    <xf numFmtId="0" fontId="0" fillId="0" borderId="17" xfId="0" applyFont="1" applyFill="1" applyBorder="1"/>
    <xf numFmtId="0" fontId="0" fillId="0" borderId="3" xfId="0" applyFont="1" applyFill="1" applyBorder="1"/>
    <xf numFmtId="0" fontId="9" fillId="0" borderId="7" xfId="0" applyFont="1" applyFill="1" applyBorder="1"/>
    <xf numFmtId="179" fontId="2" fillId="0" borderId="0" xfId="0" applyNumberFormat="1" applyFont="1" applyFill="1" applyBorder="1" applyAlignment="1" applyProtection="1">
      <alignment vertical="center"/>
    </xf>
    <xf numFmtId="4" fontId="2" fillId="0" borderId="0" xfId="0" applyNumberFormat="1" applyFont="1" applyFill="1" applyBorder="1" applyAlignment="1" applyProtection="1">
      <alignment vertical="center"/>
    </xf>
    <xf numFmtId="0" fontId="9" fillId="0" borderId="0" xfId="0" applyFont="1" applyAlignment="1">
      <alignment horizontal="left" vertical="center" wrapText="1"/>
    </xf>
    <xf numFmtId="0" fontId="35" fillId="0" borderId="27" xfId="0" applyFont="1" applyBorder="1" applyAlignment="1">
      <alignment horizontal="left" vertical="center" wrapText="1"/>
    </xf>
    <xf numFmtId="0" fontId="35" fillId="0" borderId="19" xfId="0" applyFont="1" applyBorder="1" applyAlignment="1">
      <alignment horizontal="left" vertical="center" wrapText="1"/>
    </xf>
    <xf numFmtId="0" fontId="35" fillId="0" borderId="21" xfId="0" applyFont="1" applyBorder="1" applyAlignment="1">
      <alignment horizontal="left" vertical="center" wrapText="1"/>
    </xf>
    <xf numFmtId="0" fontId="5" fillId="4" borderId="25" xfId="0" applyFont="1" applyFill="1" applyBorder="1" applyAlignment="1">
      <alignment horizontal="left"/>
    </xf>
    <xf numFmtId="0" fontId="5" fillId="4" borderId="26" xfId="0" applyFont="1" applyFill="1" applyBorder="1" applyAlignment="1">
      <alignment horizontal="left"/>
    </xf>
    <xf numFmtId="0" fontId="5" fillId="4" borderId="34" xfId="0" applyFont="1" applyFill="1" applyBorder="1" applyAlignment="1">
      <alignment horizontal="left"/>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9" fillId="0" borderId="6" xfId="0" applyFont="1" applyBorder="1" applyAlignment="1">
      <alignment horizontal="left" wrapText="1"/>
    </xf>
    <xf numFmtId="0" fontId="9" fillId="0" borderId="7" xfId="0" applyFont="1" applyBorder="1" applyAlignment="1">
      <alignment horizontal="left" wrapText="1"/>
    </xf>
    <xf numFmtId="0" fontId="9" fillId="0" borderId="10" xfId="0" applyFont="1" applyBorder="1" applyAlignment="1">
      <alignment horizontal="left" wrapText="1"/>
    </xf>
    <xf numFmtId="0" fontId="30" fillId="0" borderId="9" xfId="0" applyFont="1" applyBorder="1" applyAlignment="1">
      <alignment horizontal="left" vertical="center" wrapText="1"/>
    </xf>
    <xf numFmtId="0" fontId="30" fillId="0" borderId="1" xfId="0" applyFont="1" applyBorder="1" applyAlignment="1">
      <alignment horizontal="left" vertical="center" wrapText="1"/>
    </xf>
    <xf numFmtId="0" fontId="9"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30" fillId="0" borderId="0" xfId="0" applyFont="1" applyBorder="1" applyAlignment="1">
      <alignment horizontal="left" vertical="center" wrapText="1"/>
    </xf>
    <xf numFmtId="0" fontId="30" fillId="0" borderId="5" xfId="0" applyFont="1" applyBorder="1" applyAlignment="1">
      <alignment horizontal="left" vertical="center" wrapText="1"/>
    </xf>
    <xf numFmtId="0" fontId="9" fillId="0" borderId="39"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9" fillId="0" borderId="39" xfId="0" applyFont="1" applyBorder="1" applyAlignment="1">
      <alignment horizontal="left" wrapText="1"/>
    </xf>
    <xf numFmtId="0" fontId="9" fillId="0" borderId="13" xfId="0" applyFont="1" applyBorder="1" applyAlignment="1">
      <alignment horizontal="left" wrapText="1"/>
    </xf>
    <xf numFmtId="0" fontId="9" fillId="0" borderId="14" xfId="0" applyFont="1" applyBorder="1" applyAlignment="1">
      <alignment horizontal="left" wrapText="1"/>
    </xf>
    <xf numFmtId="0" fontId="23" fillId="6" borderId="9"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10" xfId="0" applyFont="1" applyFill="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4" fillId="0" borderId="0" xfId="0" applyFont="1" applyFill="1" applyBorder="1" applyAlignment="1" applyProtection="1">
      <alignment horizontal="left"/>
    </xf>
    <xf numFmtId="0" fontId="2" fillId="0" borderId="0" xfId="0" applyFont="1" applyBorder="1" applyAlignment="1" applyProtection="1">
      <alignment horizontal="center"/>
    </xf>
    <xf numFmtId="0" fontId="12" fillId="0" borderId="0" xfId="0" applyFont="1" applyBorder="1" applyAlignment="1" applyProtection="1">
      <alignment horizontal="left"/>
    </xf>
    <xf numFmtId="0" fontId="2" fillId="0" borderId="0" xfId="0" applyFont="1" applyBorder="1" applyAlignment="1" applyProtection="1">
      <alignment horizontal="left"/>
    </xf>
    <xf numFmtId="0" fontId="20" fillId="0" borderId="0" xfId="0" applyFont="1" applyFill="1" applyBorder="1" applyAlignment="1" applyProtection="1">
      <alignment horizontal="left"/>
    </xf>
    <xf numFmtId="0" fontId="9" fillId="0" borderId="0" xfId="0" applyFont="1" applyBorder="1" applyAlignment="1" applyProtection="1">
      <alignment wrapText="1"/>
    </xf>
    <xf numFmtId="0" fontId="9" fillId="0" borderId="0" xfId="0" applyFont="1" applyBorder="1" applyAlignment="1" applyProtection="1"/>
    <xf numFmtId="0" fontId="9" fillId="0" borderId="0"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9" fillId="0" borderId="0" xfId="0" applyFont="1" applyFill="1" applyBorder="1" applyAlignment="1" applyProtection="1">
      <alignment horizontal="left"/>
    </xf>
    <xf numFmtId="0" fontId="0" fillId="0" borderId="0" xfId="0" applyBorder="1" applyAlignment="1" applyProtection="1">
      <alignment horizontal="center" vertical="top"/>
    </xf>
    <xf numFmtId="0" fontId="7" fillId="0" borderId="0" xfId="0" applyFont="1" applyFill="1" applyBorder="1" applyAlignment="1" applyProtection="1">
      <alignment horizontal="left"/>
    </xf>
    <xf numFmtId="0" fontId="2" fillId="0" borderId="0" xfId="0" applyFont="1" applyBorder="1" applyAlignment="1" applyProtection="1">
      <alignment horizontal="center" vertical="center" wrapText="1"/>
    </xf>
    <xf numFmtId="0" fontId="4" fillId="0" borderId="0" xfId="0" applyFont="1" applyFill="1" applyBorder="1" applyAlignment="1" applyProtection="1">
      <alignment horizontal="center"/>
    </xf>
    <xf numFmtId="0" fontId="22" fillId="0" borderId="0" xfId="0" applyFont="1" applyBorder="1" applyAlignment="1">
      <alignment horizontal="left"/>
    </xf>
    <xf numFmtId="0" fontId="12" fillId="2" borderId="0" xfId="0" applyFont="1" applyFill="1" applyBorder="1" applyAlignment="1">
      <alignment horizontal="left"/>
    </xf>
    <xf numFmtId="0" fontId="2" fillId="0" borderId="0" xfId="0" applyFont="1" applyBorder="1" applyAlignment="1" applyProtection="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8" fillId="0" borderId="0" xfId="0" applyFont="1" applyBorder="1" applyAlignment="1">
      <alignment horizontal="left" vertical="center" wrapText="1"/>
    </xf>
    <xf numFmtId="0" fontId="2" fillId="0" borderId="0" xfId="0" applyFont="1" applyBorder="1" applyAlignment="1">
      <alignment horizontal="right"/>
    </xf>
    <xf numFmtId="0" fontId="2" fillId="4" borderId="0" xfId="0" applyFont="1" applyFill="1" applyBorder="1" applyAlignment="1">
      <alignment horizontal="left"/>
    </xf>
    <xf numFmtId="0" fontId="25" fillId="0" borderId="0" xfId="0" applyFont="1" applyFill="1" applyBorder="1" applyAlignment="1" applyProtection="1">
      <alignment horizontal="left"/>
      <protection locked="0"/>
    </xf>
    <xf numFmtId="0" fontId="2" fillId="0" borderId="0" xfId="0" applyFont="1" applyBorder="1" applyAlignment="1" applyProtection="1">
      <alignment horizontal="right"/>
    </xf>
    <xf numFmtId="0" fontId="22" fillId="0" borderId="0" xfId="0" applyFont="1" applyBorder="1" applyAlignment="1" applyProtection="1">
      <alignment horizontal="left" vertical="top" wrapText="1"/>
    </xf>
    <xf numFmtId="0" fontId="23" fillId="3" borderId="0" xfId="0" applyFont="1" applyFill="1" applyBorder="1" applyAlignment="1">
      <alignment horizontal="center" vertical="center"/>
    </xf>
    <xf numFmtId="0" fontId="25" fillId="0" borderId="0" xfId="0" applyFont="1" applyBorder="1" applyAlignment="1" applyProtection="1">
      <alignment horizontal="left"/>
      <protection locked="0"/>
    </xf>
    <xf numFmtId="0" fontId="1" fillId="3" borderId="9" xfId="0" applyFont="1" applyFill="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xf>
    <xf numFmtId="0" fontId="2" fillId="0" borderId="4" xfId="0" applyFont="1" applyBorder="1" applyAlignment="1" applyProtection="1">
      <alignment horizontal="left"/>
    </xf>
    <xf numFmtId="0" fontId="3" fillId="5" borderId="27" xfId="0" applyFont="1" applyFill="1" applyBorder="1" applyAlignment="1" applyProtection="1">
      <alignment horizontal="left"/>
      <protection locked="0"/>
    </xf>
    <xf numFmtId="0" fontId="3" fillId="5" borderId="19" xfId="0" applyFont="1" applyFill="1" applyBorder="1" applyAlignment="1" applyProtection="1">
      <alignment horizontal="left"/>
      <protection locked="0"/>
    </xf>
    <xf numFmtId="0" fontId="3" fillId="5" borderId="45" xfId="0" applyFont="1" applyFill="1" applyBorder="1" applyAlignment="1" applyProtection="1">
      <alignment horizontal="left"/>
      <protection locked="0"/>
    </xf>
    <xf numFmtId="0" fontId="12" fillId="0" borderId="9"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2" fillId="5" borderId="27" xfId="0" applyFont="1" applyFill="1" applyBorder="1" applyAlignment="1" applyProtection="1">
      <alignment horizontal="left"/>
      <protection locked="0"/>
    </xf>
    <xf numFmtId="0" fontId="2" fillId="5" borderId="21" xfId="0" applyFont="1" applyFill="1" applyBorder="1" applyAlignment="1" applyProtection="1">
      <alignment horizontal="left"/>
      <protection locked="0"/>
    </xf>
    <xf numFmtId="0" fontId="9" fillId="0" borderId="0" xfId="0" applyFont="1" applyBorder="1" applyAlignment="1">
      <alignment horizontal="right"/>
    </xf>
    <xf numFmtId="0" fontId="4" fillId="0" borderId="5" xfId="0" applyFont="1" applyFill="1" applyBorder="1" applyAlignment="1" applyProtection="1">
      <alignment horizontal="left"/>
    </xf>
    <xf numFmtId="0" fontId="7" fillId="0" borderId="6" xfId="0" applyFont="1" applyFill="1" applyBorder="1" applyAlignment="1" applyProtection="1">
      <alignment horizontal="left"/>
    </xf>
    <xf numFmtId="0" fontId="7" fillId="0" borderId="7" xfId="0" applyFont="1" applyFill="1" applyBorder="1" applyAlignment="1" applyProtection="1">
      <alignment horizontal="left"/>
    </xf>
    <xf numFmtId="0" fontId="7" fillId="0" borderId="10" xfId="0" applyFont="1" applyFill="1" applyBorder="1" applyAlignment="1" applyProtection="1">
      <alignment horizontal="left"/>
    </xf>
    <xf numFmtId="0" fontId="49" fillId="0" borderId="0" xfId="0" applyFont="1" applyFill="1" applyBorder="1" applyAlignment="1" applyProtection="1">
      <alignment horizontal="right"/>
      <protection locked="0"/>
    </xf>
    <xf numFmtId="0" fontId="49" fillId="0" borderId="5" xfId="0" applyFont="1" applyFill="1" applyBorder="1" applyAlignment="1" applyProtection="1">
      <alignment horizontal="right"/>
      <protection locked="0"/>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 fillId="0" borderId="9"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4" xfId="0" applyFont="1" applyBorder="1" applyAlignment="1">
      <alignment horizontal="left" vertical="center" wrapText="1"/>
    </xf>
    <xf numFmtId="0" fontId="22" fillId="0" borderId="1" xfId="0" applyFont="1" applyBorder="1" applyAlignment="1">
      <alignment horizontal="right" vertical="center" wrapText="1"/>
    </xf>
    <xf numFmtId="0" fontId="22" fillId="0" borderId="2" xfId="0" applyFont="1" applyBorder="1" applyAlignment="1">
      <alignment horizontal="right" vertical="center" wrapText="1"/>
    </xf>
    <xf numFmtId="0" fontId="22" fillId="0" borderId="1" xfId="0" applyFont="1" applyBorder="1" applyAlignment="1">
      <alignment horizontal="right" vertical="center"/>
    </xf>
    <xf numFmtId="0" fontId="22" fillId="0" borderId="2" xfId="0" applyFont="1" applyBorder="1" applyAlignment="1">
      <alignment horizontal="right" vertical="center"/>
    </xf>
    <xf numFmtId="0" fontId="38" fillId="0" borderId="0" xfId="0" applyFont="1" applyBorder="1" applyAlignment="1">
      <alignment horizontal="center" vertical="center" wrapText="1"/>
    </xf>
    <xf numFmtId="0" fontId="37" fillId="0" borderId="0" xfId="0" applyFont="1" applyBorder="1" applyAlignment="1">
      <alignment horizontal="center"/>
    </xf>
    <xf numFmtId="0" fontId="22" fillId="0" borderId="0" xfId="0" applyFont="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horizontal="left" wrapText="1"/>
    </xf>
    <xf numFmtId="0" fontId="5" fillId="4" borderId="7" xfId="0" applyFont="1" applyFill="1" applyBorder="1" applyAlignment="1" applyProtection="1">
      <alignment horizontal="left" vertical="center"/>
    </xf>
    <xf numFmtId="0" fontId="5" fillId="4" borderId="10" xfId="0" applyFont="1" applyFill="1" applyBorder="1" applyAlignment="1" applyProtection="1">
      <alignment horizontal="left" vertical="center"/>
    </xf>
    <xf numFmtId="0" fontId="3" fillId="0" borderId="9" xfId="0" applyFont="1" applyBorder="1" applyAlignment="1" applyProtection="1">
      <alignment horizontal="left" wrapText="1"/>
    </xf>
    <xf numFmtId="0" fontId="3" fillId="0" borderId="1" xfId="0" applyFont="1" applyBorder="1" applyAlignment="1" applyProtection="1">
      <alignment horizontal="left" wrapText="1"/>
    </xf>
    <xf numFmtId="0" fontId="3" fillId="0" borderId="2" xfId="0" applyFont="1" applyBorder="1" applyAlignment="1" applyProtection="1">
      <alignment horizontal="left" wrapText="1"/>
    </xf>
    <xf numFmtId="0" fontId="23" fillId="3" borderId="22"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2" fillId="0" borderId="0" xfId="0" applyFont="1" applyBorder="1" applyAlignment="1">
      <alignment horizontal="right"/>
    </xf>
    <xf numFmtId="0" fontId="22" fillId="0" borderId="5" xfId="0" applyFont="1" applyBorder="1" applyAlignment="1">
      <alignment horizontal="right"/>
    </xf>
    <xf numFmtId="0" fontId="2" fillId="0" borderId="18" xfId="0" applyFont="1" applyBorder="1" applyAlignment="1" applyProtection="1">
      <alignment horizontal="center"/>
    </xf>
    <xf numFmtId="0" fontId="2" fillId="0" borderId="20" xfId="0" applyFont="1" applyBorder="1" applyAlignment="1" applyProtection="1">
      <alignment horizontal="center"/>
    </xf>
    <xf numFmtId="0" fontId="22" fillId="0" borderId="19" xfId="0" applyFont="1" applyBorder="1" applyAlignment="1" applyProtection="1">
      <alignment horizontal="left" vertical="center" wrapText="1"/>
    </xf>
    <xf numFmtId="0" fontId="22" fillId="0" borderId="21" xfId="0" applyFont="1" applyBorder="1" applyAlignment="1" applyProtection="1">
      <alignment horizontal="left" vertical="center" wrapText="1"/>
    </xf>
    <xf numFmtId="0" fontId="12" fillId="0" borderId="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2" fillId="0" borderId="0" xfId="0" applyFont="1" applyBorder="1" applyAlignment="1" applyProtection="1">
      <alignment horizontal="left" wrapText="1"/>
    </xf>
    <xf numFmtId="0" fontId="2" fillId="0" borderId="5" xfId="0" applyFont="1" applyBorder="1" applyAlignment="1" applyProtection="1">
      <alignment horizontal="left" wrapText="1"/>
    </xf>
    <xf numFmtId="0" fontId="9" fillId="0" borderId="0" xfId="0" applyNumberFormat="1" applyFont="1" applyFill="1" applyBorder="1" applyAlignment="1" applyProtection="1">
      <alignment horizontal="left" wrapText="1"/>
    </xf>
    <xf numFmtId="0" fontId="2" fillId="0" borderId="9" xfId="0" applyFont="1" applyBorder="1" applyAlignment="1" applyProtection="1">
      <alignment horizontal="left" wrapText="1"/>
    </xf>
    <xf numFmtId="0" fontId="2" fillId="0" borderId="1" xfId="0" applyFont="1" applyBorder="1" applyAlignment="1" applyProtection="1">
      <alignment horizontal="left" wrapText="1"/>
    </xf>
    <xf numFmtId="0" fontId="2" fillId="0" borderId="2" xfId="0" applyFont="1" applyBorder="1" applyAlignment="1" applyProtection="1">
      <alignment horizontal="left" wrapText="1"/>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5" xfId="0" applyFont="1" applyBorder="1" applyAlignment="1" applyProtection="1">
      <alignment horizontal="left" vertical="center" wrapText="1"/>
    </xf>
    <xf numFmtId="0" fontId="37" fillId="0" borderId="0" xfId="0" applyFont="1" applyBorder="1" applyAlignment="1" applyProtection="1">
      <alignment horizontal="center"/>
    </xf>
    <xf numFmtId="0" fontId="37" fillId="0" borderId="5" xfId="0" applyFont="1" applyBorder="1" applyAlignment="1" applyProtection="1">
      <alignment horizontal="center"/>
    </xf>
    <xf numFmtId="0" fontId="38" fillId="0" borderId="4"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5" fillId="4" borderId="22" xfId="0" applyFont="1" applyFill="1" applyBorder="1" applyAlignment="1" applyProtection="1">
      <alignment horizontal="left" vertical="center" wrapText="1"/>
    </xf>
    <xf numFmtId="0" fontId="5" fillId="4" borderId="11" xfId="0" applyFont="1" applyFill="1" applyBorder="1" applyAlignment="1" applyProtection="1">
      <alignment horizontal="left" vertical="center" wrapText="1"/>
    </xf>
    <xf numFmtId="0" fontId="5" fillId="4" borderId="12"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1" fillId="3" borderId="9" xfId="0" applyFont="1" applyFill="1" applyBorder="1" applyAlignment="1" applyProtection="1">
      <alignment horizontal="center" wrapText="1"/>
    </xf>
    <xf numFmtId="0" fontId="1" fillId="3" borderId="1" xfId="0" applyFont="1" applyFill="1" applyBorder="1" applyAlignment="1" applyProtection="1">
      <alignment horizontal="center"/>
    </xf>
    <xf numFmtId="0" fontId="1" fillId="3" borderId="2" xfId="0" applyFont="1" applyFill="1" applyBorder="1" applyAlignment="1" applyProtection="1">
      <alignment horizontal="center"/>
    </xf>
    <xf numFmtId="0" fontId="54" fillId="0" borderId="0" xfId="0" applyFont="1" applyBorder="1" applyAlignment="1" applyProtection="1">
      <alignment horizontal="right" vertical="center" wrapText="1"/>
    </xf>
    <xf numFmtId="0" fontId="2" fillId="0" borderId="39"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0" fontId="54" fillId="0" borderId="5" xfId="0" applyFont="1" applyBorder="1" applyAlignment="1" applyProtection="1">
      <alignment horizontal="left" vertical="center" wrapText="1"/>
    </xf>
    <xf numFmtId="0" fontId="23" fillId="3" borderId="22"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 fillId="0" borderId="1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7" xfId="0" applyFont="1" applyBorder="1" applyAlignment="1" applyProtection="1">
      <alignment horizontal="left"/>
    </xf>
    <xf numFmtId="0" fontId="2" fillId="0" borderId="10" xfId="0" applyFont="1" applyBorder="1" applyAlignment="1" applyProtection="1">
      <alignment horizontal="left"/>
    </xf>
    <xf numFmtId="0" fontId="12" fillId="2" borderId="25" xfId="0" applyFont="1" applyFill="1" applyBorder="1" applyAlignment="1">
      <alignment horizontal="left"/>
    </xf>
    <xf numFmtId="0" fontId="12" fillId="2" borderId="26" xfId="0" applyFont="1" applyFill="1" applyBorder="1" applyAlignment="1">
      <alignment horizontal="left"/>
    </xf>
    <xf numFmtId="0" fontId="12" fillId="2" borderId="34" xfId="0" applyFont="1" applyFill="1" applyBorder="1" applyAlignment="1">
      <alignment horizontal="left"/>
    </xf>
    <xf numFmtId="0" fontId="4" fillId="0" borderId="4"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22" fillId="0" borderId="18" xfId="0" applyFont="1" applyBorder="1" applyAlignment="1">
      <alignment horizontal="left"/>
    </xf>
    <xf numFmtId="0" fontId="22" fillId="0" borderId="20" xfId="0" applyFont="1" applyBorder="1" applyAlignment="1">
      <alignment horizontal="left"/>
    </xf>
    <xf numFmtId="0" fontId="4" fillId="0" borderId="13" xfId="0" applyFont="1" applyFill="1" applyBorder="1" applyAlignment="1" applyProtection="1">
      <alignment horizontal="left"/>
    </xf>
    <xf numFmtId="0" fontId="4" fillId="0" borderId="14" xfId="0" applyFont="1" applyFill="1" applyBorder="1" applyAlignment="1" applyProtection="1">
      <alignment horizontal="left"/>
    </xf>
    <xf numFmtId="0" fontId="2" fillId="0" borderId="18" xfId="0" applyFont="1" applyBorder="1" applyAlignment="1" applyProtection="1">
      <alignment horizontal="right"/>
    </xf>
    <xf numFmtId="0" fontId="2" fillId="4" borderId="25" xfId="0" applyFont="1" applyFill="1" applyBorder="1" applyAlignment="1">
      <alignment horizontal="left"/>
    </xf>
    <xf numFmtId="0" fontId="2" fillId="4" borderId="26" xfId="0" applyFont="1" applyFill="1" applyBorder="1" applyAlignment="1">
      <alignment horizontal="left"/>
    </xf>
    <xf numFmtId="0" fontId="2" fillId="4" borderId="34" xfId="0" applyFont="1" applyFill="1" applyBorder="1" applyAlignment="1">
      <alignment horizontal="left"/>
    </xf>
    <xf numFmtId="0" fontId="25" fillId="0" borderId="18" xfId="0" applyFont="1" applyFill="1" applyBorder="1" applyAlignment="1" applyProtection="1">
      <alignment horizontal="left"/>
      <protection locked="0"/>
    </xf>
    <xf numFmtId="0" fontId="25" fillId="0" borderId="20" xfId="0" applyFont="1" applyFill="1" applyBorder="1" applyAlignment="1" applyProtection="1">
      <alignment horizontal="left"/>
      <protection locked="0"/>
    </xf>
    <xf numFmtId="0" fontId="28" fillId="0" borderId="30" xfId="0" applyFont="1" applyBorder="1" applyAlignment="1">
      <alignment horizontal="left" vertical="center" wrapText="1"/>
    </xf>
    <xf numFmtId="0" fontId="28"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4" xfId="0" applyFont="1" applyBorder="1" applyAlignment="1">
      <alignment horizontal="right"/>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34" xfId="0" applyFont="1" applyFill="1" applyBorder="1" applyAlignment="1">
      <alignment horizontal="left" vertical="center"/>
    </xf>
    <xf numFmtId="0" fontId="2" fillId="0" borderId="2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center"/>
    </xf>
    <xf numFmtId="0" fontId="2" fillId="0" borderId="20" xfId="0" applyFont="1" applyBorder="1" applyAlignment="1">
      <alignment horizontal="center"/>
    </xf>
    <xf numFmtId="0" fontId="22" fillId="0" borderId="19" xfId="0" applyFont="1" applyBorder="1" applyAlignment="1" applyProtection="1">
      <alignment horizontal="left" vertical="top" wrapText="1"/>
    </xf>
    <xf numFmtId="0" fontId="22" fillId="0" borderId="21" xfId="0" applyFont="1" applyBorder="1" applyAlignment="1" applyProtection="1">
      <alignment horizontal="left" vertical="top" wrapText="1"/>
    </xf>
    <xf numFmtId="0" fontId="2" fillId="0" borderId="5" xfId="0" applyFont="1" applyBorder="1" applyAlignment="1" applyProtection="1">
      <alignment horizontal="left"/>
    </xf>
    <xf numFmtId="0" fontId="2" fillId="0" borderId="0" xfId="0" applyFont="1" applyFill="1" applyBorder="1" applyAlignment="1" applyProtection="1">
      <alignment horizontal="left" vertical="center" wrapText="1"/>
      <protection locked="0" hidden="1"/>
    </xf>
    <xf numFmtId="0" fontId="25" fillId="0" borderId="18" xfId="0" applyFont="1" applyBorder="1" applyAlignment="1" applyProtection="1">
      <alignment horizontal="left"/>
      <protection locked="0"/>
    </xf>
    <xf numFmtId="0" fontId="2" fillId="0" borderId="30" xfId="0" applyFont="1" applyFill="1" applyBorder="1" applyAlignment="1" applyProtection="1">
      <alignment horizontal="left" vertical="center" wrapText="1"/>
      <protection locked="0" hidden="1"/>
    </xf>
    <xf numFmtId="0" fontId="2" fillId="0" borderId="31" xfId="0" applyFont="1" applyFill="1" applyBorder="1" applyAlignment="1" applyProtection="1">
      <alignment horizontal="left" vertical="center" wrapText="1"/>
      <protection locked="0" hidden="1"/>
    </xf>
    <xf numFmtId="0" fontId="2" fillId="0" borderId="13" xfId="0" applyFont="1" applyFill="1" applyBorder="1" applyAlignment="1" applyProtection="1">
      <alignment horizontal="left" vertical="center" wrapText="1"/>
      <protection locked="0" hidden="1"/>
    </xf>
    <xf numFmtId="0" fontId="2" fillId="0" borderId="40" xfId="0" applyFont="1" applyFill="1" applyBorder="1" applyAlignment="1" applyProtection="1">
      <alignment horizontal="left" vertical="center" wrapText="1"/>
      <protection locked="0" hidden="1"/>
    </xf>
    <xf numFmtId="0" fontId="2" fillId="4" borderId="23" xfId="0" applyFont="1" applyFill="1" applyBorder="1" applyAlignment="1">
      <alignment horizontal="left"/>
    </xf>
    <xf numFmtId="0" fontId="2" fillId="4" borderId="19" xfId="0" applyFont="1" applyFill="1" applyBorder="1" applyAlignment="1">
      <alignment horizontal="left"/>
    </xf>
    <xf numFmtId="0" fontId="2" fillId="4" borderId="21" xfId="0" applyFont="1" applyFill="1" applyBorder="1" applyAlignment="1">
      <alignment horizontal="left"/>
    </xf>
    <xf numFmtId="0" fontId="4" fillId="0" borderId="18" xfId="0" applyFont="1" applyFill="1" applyBorder="1" applyAlignment="1" applyProtection="1">
      <alignment horizontal="left"/>
    </xf>
    <xf numFmtId="0" fontId="4" fillId="0" borderId="20" xfId="0" applyFont="1" applyFill="1" applyBorder="1" applyAlignment="1" applyProtection="1">
      <alignment horizontal="left"/>
    </xf>
    <xf numFmtId="0" fontId="2" fillId="0" borderId="5" xfId="0" applyFont="1" applyBorder="1" applyAlignment="1">
      <alignment horizontal="left" vertical="center" wrapText="1"/>
    </xf>
    <xf numFmtId="0" fontId="2" fillId="0" borderId="29" xfId="0" applyFont="1" applyBorder="1" applyAlignment="1">
      <alignment horizontal="right"/>
    </xf>
    <xf numFmtId="0" fontId="23" fillId="0" borderId="0" xfId="0" applyFont="1" applyFill="1" applyBorder="1" applyAlignment="1">
      <alignment horizontal="center" vertical="center"/>
    </xf>
    <xf numFmtId="9" fontId="70" fillId="5" borderId="27" xfId="2" applyFont="1" applyFill="1" applyBorder="1" applyAlignment="1" applyProtection="1">
      <alignment horizontal="center" vertical="center"/>
      <protection locked="0"/>
    </xf>
    <xf numFmtId="9" fontId="70" fillId="5" borderId="19" xfId="2" applyFont="1" applyFill="1" applyBorder="1" applyAlignment="1" applyProtection="1">
      <alignment horizontal="center" vertical="center"/>
      <protection locked="0"/>
    </xf>
    <xf numFmtId="9" fontId="70" fillId="5" borderId="45" xfId="2" applyFont="1" applyFill="1" applyBorder="1" applyAlignment="1" applyProtection="1">
      <alignment horizontal="center" vertical="center"/>
      <protection locked="0"/>
    </xf>
    <xf numFmtId="0" fontId="70" fillId="5" borderId="23" xfId="0" applyNumberFormat="1" applyFont="1" applyFill="1" applyBorder="1" applyAlignment="1" applyProtection="1">
      <alignment horizontal="left" vertical="center"/>
      <protection locked="0"/>
    </xf>
    <xf numFmtId="0" fontId="70" fillId="5" borderId="19" xfId="0" applyNumberFormat="1" applyFont="1" applyFill="1" applyBorder="1" applyAlignment="1" applyProtection="1">
      <alignment horizontal="left" vertical="center"/>
      <protection locked="0"/>
    </xf>
    <xf numFmtId="0" fontId="70" fillId="5" borderId="45" xfId="0" applyNumberFormat="1" applyFont="1" applyFill="1" applyBorder="1" applyAlignment="1" applyProtection="1">
      <alignment horizontal="left" vertical="center"/>
      <protection locked="0"/>
    </xf>
    <xf numFmtId="0" fontId="75" fillId="7" borderId="22" xfId="0" applyFont="1" applyFill="1" applyBorder="1" applyAlignment="1">
      <alignment horizontal="left" wrapText="1"/>
    </xf>
    <xf numFmtId="0" fontId="75" fillId="7" borderId="11" xfId="0" applyFont="1" applyFill="1" applyBorder="1" applyAlignment="1">
      <alignment horizontal="left" wrapText="1"/>
    </xf>
    <xf numFmtId="0" fontId="75" fillId="7" borderId="12" xfId="0" applyFont="1" applyFill="1" applyBorder="1" applyAlignment="1">
      <alignment horizontal="left" wrapText="1"/>
    </xf>
    <xf numFmtId="181" fontId="59" fillId="0" borderId="0" xfId="0" applyNumberFormat="1" applyFont="1" applyBorder="1" applyAlignment="1">
      <alignment horizontal="center" vertical="center"/>
    </xf>
    <xf numFmtId="186" fontId="59" fillId="7" borderId="46" xfId="0" applyNumberFormat="1" applyFont="1" applyFill="1" applyBorder="1" applyAlignment="1">
      <alignment horizontal="center" vertical="center"/>
    </xf>
    <xf numFmtId="9" fontId="70" fillId="0" borderId="28" xfId="2" applyFont="1" applyBorder="1" applyAlignment="1">
      <alignment horizontal="center" vertical="center"/>
    </xf>
    <xf numFmtId="9" fontId="70" fillId="5" borderId="32" xfId="0" applyNumberFormat="1" applyFont="1" applyFill="1" applyBorder="1" applyAlignment="1" applyProtection="1">
      <alignment horizontal="center" vertical="center"/>
      <protection locked="0"/>
    </xf>
    <xf numFmtId="9" fontId="70" fillId="5" borderId="41" xfId="0" applyNumberFormat="1" applyFont="1" applyFill="1" applyBorder="1" applyAlignment="1" applyProtection="1">
      <alignment horizontal="center" vertical="center"/>
      <protection locked="0"/>
    </xf>
    <xf numFmtId="0" fontId="71" fillId="0" borderId="0" xfId="0" applyFont="1" applyBorder="1" applyAlignment="1">
      <alignment horizontal="center" vertical="center"/>
    </xf>
    <xf numFmtId="9" fontId="70" fillId="0" borderId="44" xfId="2" applyFont="1" applyBorder="1" applyAlignment="1">
      <alignment horizontal="center" vertical="center"/>
    </xf>
    <xf numFmtId="9" fontId="70" fillId="0" borderId="47" xfId="2" applyFont="1" applyBorder="1" applyAlignment="1">
      <alignment horizontal="center" vertical="center"/>
    </xf>
    <xf numFmtId="9" fontId="70" fillId="0" borderId="53" xfId="2" applyFont="1" applyBorder="1" applyAlignment="1">
      <alignment horizontal="center" vertical="center"/>
    </xf>
    <xf numFmtId="3" fontId="70" fillId="0" borderId="44" xfId="2" applyNumberFormat="1" applyFont="1" applyBorder="1" applyAlignment="1">
      <alignment horizontal="center" vertical="center"/>
    </xf>
    <xf numFmtId="3" fontId="70" fillId="0" borderId="47" xfId="2" applyNumberFormat="1" applyFont="1" applyBorder="1" applyAlignment="1">
      <alignment horizontal="center" vertical="center"/>
    </xf>
    <xf numFmtId="3" fontId="70" fillId="0" borderId="53" xfId="2" applyNumberFormat="1" applyFont="1" applyBorder="1" applyAlignment="1">
      <alignment horizontal="center" vertical="center"/>
    </xf>
    <xf numFmtId="9" fontId="70" fillId="0" borderId="28" xfId="2" applyFont="1" applyFill="1" applyBorder="1" applyAlignment="1">
      <alignment horizontal="center" vertical="center"/>
    </xf>
    <xf numFmtId="3" fontId="70" fillId="0" borderId="27" xfId="2" applyNumberFormat="1" applyFont="1" applyBorder="1" applyAlignment="1">
      <alignment horizontal="center" vertical="center"/>
    </xf>
    <xf numFmtId="3" fontId="70" fillId="0" borderId="19" xfId="2" applyNumberFormat="1" applyFont="1" applyBorder="1" applyAlignment="1">
      <alignment horizontal="center" vertical="center"/>
    </xf>
    <xf numFmtId="3" fontId="70" fillId="0" borderId="45" xfId="2" applyNumberFormat="1" applyFont="1" applyBorder="1" applyAlignment="1">
      <alignment horizontal="center" vertical="center"/>
    </xf>
    <xf numFmtId="186" fontId="2" fillId="7" borderId="22" xfId="0" applyNumberFormat="1" applyFont="1" applyFill="1" applyBorder="1" applyAlignment="1" applyProtection="1">
      <alignment horizontal="center" vertical="center"/>
    </xf>
    <xf numFmtId="186" fontId="2" fillId="7" borderId="11" xfId="0" applyNumberFormat="1" applyFont="1" applyFill="1" applyBorder="1" applyAlignment="1" applyProtection="1">
      <alignment horizontal="center" vertical="center"/>
    </xf>
    <xf numFmtId="186" fontId="2" fillId="7" borderId="12" xfId="0" applyNumberFormat="1" applyFont="1" applyFill="1" applyBorder="1" applyAlignment="1" applyProtection="1">
      <alignment horizontal="center" vertical="center"/>
    </xf>
    <xf numFmtId="0" fontId="60" fillId="4" borderId="22" xfId="0" applyFont="1" applyFill="1" applyBorder="1" applyAlignment="1">
      <alignment horizontal="left" vertical="center"/>
    </xf>
    <xf numFmtId="0" fontId="60" fillId="4" borderId="11" xfId="0" applyFont="1" applyFill="1" applyBorder="1" applyAlignment="1">
      <alignment horizontal="left" vertical="center"/>
    </xf>
    <xf numFmtId="0" fontId="60" fillId="4" borderId="12" xfId="0" applyFont="1" applyFill="1" applyBorder="1" applyAlignment="1">
      <alignment horizontal="left" vertical="center"/>
    </xf>
    <xf numFmtId="183" fontId="70" fillId="5" borderId="27" xfId="0" applyNumberFormat="1" applyFont="1" applyFill="1" applyBorder="1" applyAlignment="1" applyProtection="1">
      <alignment horizontal="center" vertical="center"/>
      <protection locked="0"/>
    </xf>
    <xf numFmtId="183" fontId="70" fillId="5" borderId="19" xfId="0" applyNumberFormat="1" applyFont="1" applyFill="1" applyBorder="1" applyAlignment="1" applyProtection="1">
      <alignment horizontal="center" vertical="center"/>
      <protection locked="0"/>
    </xf>
    <xf numFmtId="183" fontId="70" fillId="5" borderId="45" xfId="0" applyNumberFormat="1" applyFont="1" applyFill="1" applyBorder="1" applyAlignment="1" applyProtection="1">
      <alignment horizontal="center" vertical="center"/>
      <protection locked="0"/>
    </xf>
    <xf numFmtId="0" fontId="70" fillId="0" borderId="28" xfId="0" applyFont="1" applyBorder="1" applyAlignment="1">
      <alignment horizontal="center" vertical="center"/>
    </xf>
    <xf numFmtId="186" fontId="60" fillId="0" borderId="4" xfId="0" applyNumberFormat="1" applyFont="1" applyFill="1" applyBorder="1" applyAlignment="1">
      <alignment horizontal="center" vertical="center"/>
    </xf>
    <xf numFmtId="186" fontId="60" fillId="0" borderId="0" xfId="0" applyNumberFormat="1" applyFont="1" applyFill="1" applyBorder="1" applyAlignment="1">
      <alignment horizontal="center" vertical="center"/>
    </xf>
    <xf numFmtId="186" fontId="60" fillId="0" borderId="5" xfId="0" applyNumberFormat="1" applyFont="1" applyFill="1" applyBorder="1" applyAlignment="1">
      <alignment horizontal="center" vertical="center"/>
    </xf>
    <xf numFmtId="186" fontId="60" fillId="0" borderId="0" xfId="0" applyNumberFormat="1" applyFont="1" applyFill="1" applyBorder="1" applyAlignment="1">
      <alignment horizontal="center"/>
    </xf>
    <xf numFmtId="0" fontId="1" fillId="3" borderId="1" xfId="0" applyFont="1" applyFill="1" applyBorder="1" applyAlignment="1">
      <alignment horizontal="center" wrapText="1"/>
    </xf>
    <xf numFmtId="0" fontId="2" fillId="0" borderId="19" xfId="0" applyFont="1" applyFill="1" applyBorder="1" applyAlignment="1" applyProtection="1">
      <alignment horizontal="left" vertical="center"/>
    </xf>
    <xf numFmtId="0" fontId="59" fillId="0" borderId="0" xfId="0" applyFont="1" applyBorder="1" applyAlignment="1" applyProtection="1">
      <alignment horizontal="left" vertical="center"/>
    </xf>
    <xf numFmtId="0" fontId="9" fillId="0" borderId="9" xfId="0" applyFont="1" applyBorder="1" applyAlignment="1">
      <alignment horizontal="left" wrapText="1"/>
    </xf>
    <xf numFmtId="0" fontId="9" fillId="0" borderId="1" xfId="0" applyFont="1" applyBorder="1" applyAlignment="1">
      <alignment horizontal="left" wrapText="1"/>
    </xf>
    <xf numFmtId="0" fontId="9" fillId="0" borderId="2" xfId="0" applyFont="1" applyBorder="1" applyAlignment="1">
      <alignment horizontal="left" wrapText="1"/>
    </xf>
    <xf numFmtId="188" fontId="59" fillId="0" borderId="27" xfId="0" applyNumberFormat="1" applyFont="1" applyBorder="1" applyAlignment="1">
      <alignment horizontal="right" vertical="center"/>
    </xf>
    <xf numFmtId="188" fontId="59" fillId="0" borderId="45" xfId="0" applyNumberFormat="1" applyFont="1" applyBorder="1" applyAlignment="1">
      <alignment horizontal="right" vertical="center"/>
    </xf>
    <xf numFmtId="190" fontId="59" fillId="0" borderId="27" xfId="0" applyNumberFormat="1" applyFont="1" applyFill="1" applyBorder="1" applyAlignment="1" applyProtection="1">
      <alignment horizontal="right" vertical="center"/>
    </xf>
    <xf numFmtId="190" fontId="59" fillId="0" borderId="45" xfId="0" applyNumberFormat="1" applyFont="1" applyFill="1" applyBorder="1" applyAlignment="1" applyProtection="1">
      <alignment horizontal="right" vertical="center"/>
    </xf>
    <xf numFmtId="186" fontId="70" fillId="5" borderId="27" xfId="0" applyNumberFormat="1" applyFont="1" applyFill="1" applyBorder="1" applyAlignment="1" applyProtection="1">
      <alignment horizontal="center" vertical="center"/>
      <protection locked="0"/>
    </xf>
    <xf numFmtId="186" fontId="70" fillId="5" borderId="19" xfId="0" applyNumberFormat="1" applyFont="1" applyFill="1" applyBorder="1" applyAlignment="1" applyProtection="1">
      <alignment horizontal="center" vertical="center"/>
      <protection locked="0"/>
    </xf>
    <xf numFmtId="186" fontId="70" fillId="5" borderId="45" xfId="0" applyNumberFormat="1" applyFont="1" applyFill="1" applyBorder="1" applyAlignment="1" applyProtection="1">
      <alignment horizontal="center" vertical="center"/>
      <protection locked="0"/>
    </xf>
    <xf numFmtId="0" fontId="59" fillId="0" borderId="0" xfId="0" applyFont="1" applyBorder="1" applyAlignment="1">
      <alignment horizontal="left" vertical="center"/>
    </xf>
    <xf numFmtId="188" fontId="59" fillId="5" borderId="27" xfId="0" applyNumberFormat="1" applyFont="1" applyFill="1" applyBorder="1" applyAlignment="1" applyProtection="1">
      <alignment horizontal="right" vertical="center"/>
      <protection locked="0"/>
    </xf>
    <xf numFmtId="188" fontId="59" fillId="5" borderId="45" xfId="0" applyNumberFormat="1" applyFont="1" applyFill="1" applyBorder="1" applyAlignment="1" applyProtection="1">
      <alignment horizontal="right" vertical="center"/>
      <protection locked="0"/>
    </xf>
    <xf numFmtId="9" fontId="70" fillId="5" borderId="27" xfId="0" applyNumberFormat="1" applyFont="1" applyFill="1" applyBorder="1" applyAlignment="1" applyProtection="1">
      <alignment horizontal="center" vertical="center"/>
      <protection locked="0"/>
    </xf>
    <xf numFmtId="9" fontId="70" fillId="5" borderId="45" xfId="0" applyNumberFormat="1" applyFont="1" applyFill="1" applyBorder="1" applyAlignment="1" applyProtection="1">
      <alignment horizontal="center" vertical="center"/>
      <protection locked="0"/>
    </xf>
    <xf numFmtId="0" fontId="35" fillId="0" borderId="22" xfId="0" applyFont="1" applyBorder="1" applyAlignment="1">
      <alignment horizontal="left"/>
    </xf>
    <xf numFmtId="0" fontId="35" fillId="0" borderId="12" xfId="0" applyFont="1" applyBorder="1" applyAlignment="1">
      <alignment horizontal="left"/>
    </xf>
    <xf numFmtId="0" fontId="0" fillId="0" borderId="9"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0" xfId="0" applyBorder="1" applyAlignment="1">
      <alignment horizontal="left"/>
    </xf>
    <xf numFmtId="0" fontId="1" fillId="3" borderId="2" xfId="0" applyFont="1" applyFill="1" applyBorder="1" applyAlignment="1">
      <alignment horizontal="center" wrapText="1"/>
    </xf>
    <xf numFmtId="0" fontId="9" fillId="0" borderId="22"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5" fillId="0" borderId="46" xfId="0" applyFont="1" applyBorder="1" applyAlignment="1">
      <alignment horizontal="left"/>
    </xf>
    <xf numFmtId="0" fontId="23" fillId="3" borderId="9" xfId="0" applyFont="1" applyFill="1" applyBorder="1" applyAlignment="1" applyProtection="1">
      <alignment horizontal="center" wrapText="1"/>
    </xf>
    <xf numFmtId="0" fontId="23" fillId="3" borderId="1" xfId="0" applyFont="1" applyFill="1" applyBorder="1" applyAlignment="1" applyProtection="1">
      <alignment horizontal="center"/>
    </xf>
    <xf numFmtId="0" fontId="23" fillId="3" borderId="2" xfId="0" applyFont="1" applyFill="1" applyBorder="1" applyAlignment="1" applyProtection="1">
      <alignment horizontal="center"/>
    </xf>
    <xf numFmtId="0" fontId="12" fillId="4" borderId="22" xfId="0" applyFont="1" applyFill="1" applyBorder="1" applyAlignment="1" applyProtection="1">
      <alignment horizontal="left" vertical="center"/>
    </xf>
    <xf numFmtId="0" fontId="12" fillId="4" borderId="11" xfId="0" applyFont="1" applyFill="1" applyBorder="1" applyAlignment="1" applyProtection="1">
      <alignment horizontal="left" vertical="center"/>
    </xf>
    <xf numFmtId="0" fontId="12" fillId="4" borderId="1" xfId="0" applyFont="1" applyFill="1" applyBorder="1" applyAlignment="1" applyProtection="1">
      <alignment horizontal="left" vertical="center"/>
    </xf>
    <xf numFmtId="0" fontId="12" fillId="4" borderId="2" xfId="0" applyFont="1" applyFill="1" applyBorder="1" applyAlignment="1" applyProtection="1">
      <alignment horizontal="left" vertical="center"/>
    </xf>
    <xf numFmtId="0" fontId="12" fillId="4" borderId="12" xfId="0" applyFont="1" applyFill="1" applyBorder="1" applyAlignment="1" applyProtection="1">
      <alignment horizontal="left" vertical="center"/>
    </xf>
    <xf numFmtId="179" fontId="2" fillId="0" borderId="49" xfId="0" applyNumberFormat="1" applyFont="1" applyFill="1" applyBorder="1" applyAlignment="1" applyProtection="1">
      <alignment horizontal="left"/>
    </xf>
    <xf numFmtId="179" fontId="2" fillId="0" borderId="34" xfId="0" applyNumberFormat="1" applyFont="1" applyFill="1" applyBorder="1" applyAlignment="1" applyProtection="1">
      <alignment horizontal="left"/>
    </xf>
    <xf numFmtId="0" fontId="9" fillId="0" borderId="4" xfId="0" applyFont="1" applyBorder="1" applyAlignment="1" applyProtection="1">
      <alignment horizontal="left"/>
    </xf>
    <xf numFmtId="0" fontId="9" fillId="0" borderId="0" xfId="0" applyFont="1" applyBorder="1" applyAlignment="1" applyProtection="1">
      <alignment horizontal="left"/>
    </xf>
    <xf numFmtId="0" fontId="9" fillId="0" borderId="29" xfId="0" applyFont="1" applyBorder="1" applyAlignment="1" applyProtection="1">
      <alignment horizontal="left"/>
    </xf>
    <xf numFmtId="0" fontId="9" fillId="0" borderId="9" xfId="0" applyFont="1" applyBorder="1" applyAlignment="1" applyProtection="1">
      <alignment horizontal="left"/>
    </xf>
    <xf numFmtId="0" fontId="0" fillId="0" borderId="1" xfId="0" applyBorder="1" applyAlignment="1" applyProtection="1">
      <alignment horizontal="left"/>
    </xf>
    <xf numFmtId="0" fontId="40" fillId="8" borderId="1" xfId="0" applyFont="1" applyFill="1" applyBorder="1" applyAlignment="1" applyProtection="1">
      <alignment horizontal="left" vertical="top" wrapText="1"/>
      <protection locked="0"/>
    </xf>
    <xf numFmtId="0" fontId="40" fillId="8" borderId="0" xfId="0" applyFont="1" applyFill="1" applyBorder="1" applyAlignment="1" applyProtection="1">
      <alignment horizontal="left" vertical="top" wrapText="1"/>
      <protection locked="0"/>
    </xf>
    <xf numFmtId="0" fontId="9" fillId="0" borderId="4" xfId="0" applyFont="1" applyBorder="1" applyAlignment="1" applyProtection="1">
      <alignment horizontal="left" wrapText="1"/>
    </xf>
    <xf numFmtId="0" fontId="0" fillId="0" borderId="0" xfId="0" applyBorder="1" applyAlignment="1" applyProtection="1">
      <alignment horizontal="left"/>
    </xf>
    <xf numFmtId="0" fontId="12" fillId="0" borderId="4" xfId="0" applyFont="1" applyBorder="1" applyAlignment="1" applyProtection="1">
      <alignment horizontal="left"/>
    </xf>
    <xf numFmtId="10" fontId="0" fillId="5" borderId="27" xfId="0" applyNumberFormat="1" applyFill="1" applyBorder="1" applyAlignment="1" applyProtection="1">
      <alignment horizontal="center"/>
      <protection locked="0"/>
    </xf>
    <xf numFmtId="10" fontId="0" fillId="5" borderId="19" xfId="0" applyNumberFormat="1" applyFill="1" applyBorder="1" applyAlignment="1" applyProtection="1">
      <alignment horizontal="center"/>
      <protection locked="0"/>
    </xf>
    <xf numFmtId="10" fontId="0" fillId="5" borderId="45" xfId="0" applyNumberFormat="1" applyFill="1" applyBorder="1" applyAlignment="1" applyProtection="1">
      <alignment horizontal="center"/>
      <protection locked="0"/>
    </xf>
    <xf numFmtId="182" fontId="0" fillId="5" borderId="27" xfId="0" applyNumberFormat="1" applyFill="1" applyBorder="1" applyAlignment="1" applyProtection="1">
      <alignment horizontal="center"/>
      <protection locked="0"/>
    </xf>
    <xf numFmtId="182" fontId="0" fillId="5" borderId="19" xfId="0" applyNumberFormat="1" applyFill="1" applyBorder="1" applyAlignment="1" applyProtection="1">
      <alignment horizontal="center"/>
      <protection locked="0"/>
    </xf>
    <xf numFmtId="182" fontId="0" fillId="5" borderId="45" xfId="0" applyNumberFormat="1" applyFill="1" applyBorder="1" applyAlignment="1" applyProtection="1">
      <alignment horizontal="center"/>
      <protection locked="0"/>
    </xf>
    <xf numFmtId="183" fontId="0" fillId="5" borderId="43" xfId="0" applyNumberFormat="1" applyFill="1" applyBorder="1" applyAlignment="1" applyProtection="1">
      <alignment horizontal="right" vertical="center"/>
      <protection locked="0"/>
    </xf>
    <xf numFmtId="183" fontId="0" fillId="5" borderId="35" xfId="0" applyNumberFormat="1" applyFill="1" applyBorder="1" applyAlignment="1" applyProtection="1">
      <alignment horizontal="right" vertical="center"/>
      <protection locked="0"/>
    </xf>
    <xf numFmtId="0" fontId="12" fillId="0" borderId="4"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30" fillId="3" borderId="6" xfId="0" applyFont="1" applyFill="1" applyBorder="1" applyAlignment="1" applyProtection="1">
      <alignment horizontal="left" vertical="center"/>
    </xf>
    <xf numFmtId="0" fontId="30" fillId="3" borderId="7" xfId="0" applyFont="1" applyFill="1" applyBorder="1" applyAlignment="1" applyProtection="1">
      <alignment horizontal="left" vertical="center"/>
    </xf>
    <xf numFmtId="0" fontId="0" fillId="0" borderId="29" xfId="0" applyBorder="1" applyAlignment="1" applyProtection="1">
      <alignment horizontal="left"/>
    </xf>
    <xf numFmtId="0" fontId="0" fillId="0" borderId="0" xfId="0" applyBorder="1" applyAlignment="1" applyProtection="1">
      <alignment horizontal="left" wrapText="1"/>
    </xf>
    <xf numFmtId="0" fontId="12" fillId="4" borderId="9" xfId="0" applyFont="1" applyFill="1" applyBorder="1" applyAlignment="1" applyProtection="1">
      <alignment horizontal="left" vertical="center"/>
    </xf>
    <xf numFmtId="183" fontId="0" fillId="5" borderId="50" xfId="0" applyNumberFormat="1" applyFill="1" applyBorder="1" applyAlignment="1" applyProtection="1">
      <alignment horizontal="right" vertical="center"/>
      <protection locked="0"/>
    </xf>
    <xf numFmtId="183" fontId="0" fillId="5" borderId="51" xfId="0" applyNumberFormat="1" applyFill="1" applyBorder="1" applyAlignment="1" applyProtection="1">
      <alignment horizontal="right" vertical="center"/>
      <protection locked="0"/>
    </xf>
    <xf numFmtId="0" fontId="41" fillId="0" borderId="4" xfId="1" applyFont="1" applyBorder="1" applyAlignment="1" applyProtection="1">
      <alignment horizontal="left"/>
    </xf>
    <xf numFmtId="0" fontId="41" fillId="0" borderId="0" xfId="1" applyFont="1" applyBorder="1" applyAlignment="1" applyProtection="1">
      <alignment horizontal="left"/>
    </xf>
  </cellXfs>
  <cellStyles count="4">
    <cellStyle name="Hyperlink" xfId="1" builtinId="8"/>
    <cellStyle name="Komma" xfId="3" builtinId="3"/>
    <cellStyle name="Prozent" xfId="2" builtinId="5"/>
    <cellStyle name="Standard" xfId="0" builtinId="0"/>
  </cellStyles>
  <dxfs count="1">
    <dxf>
      <font>
        <condense val="0"/>
        <extend val="0"/>
        <color indexed="22"/>
      </font>
    </dxf>
  </dxfs>
  <tableStyles count="0" defaultTableStyle="TableStyleMedium9" defaultPivotStyle="PivotStyleLight16"/>
  <colors>
    <mruColors>
      <color rgb="FF00CC99"/>
      <color rgb="FFFFD13F"/>
      <color rgb="FFD60093"/>
      <color rgb="FFFFE285"/>
      <color rgb="FFEAB200"/>
      <color rgb="FFFFEBAB"/>
      <color rgb="FFFFDB69"/>
      <color rgb="FFABEBE9"/>
      <color rgb="FF9CE8E6"/>
      <color rgb="FF57D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613440716472831"/>
          <c:y val="0.14980155155882274"/>
          <c:w val="0.50156701740868481"/>
          <c:h val="0.73421855478397302"/>
        </c:manualLayout>
      </c:layout>
      <c:barChart>
        <c:barDir val="col"/>
        <c:grouping val="clustered"/>
        <c:varyColors val="0"/>
        <c:ser>
          <c:idx val="0"/>
          <c:order val="0"/>
          <c:tx>
            <c:strRef>
              <c:f>Basisdaten!$E$195</c:f>
              <c:strCache>
                <c:ptCount val="1"/>
                <c:pt idx="0">
                  <c:v>Anforderung</c:v>
                </c:pt>
              </c:strCache>
            </c:strRef>
          </c:tx>
          <c:spPr>
            <a:solidFill>
              <a:srgbClr val="C00000"/>
            </a:solidFill>
          </c:spPr>
          <c:invertIfNegative val="0"/>
          <c:dLbls>
            <c:dLbl>
              <c:idx val="0"/>
              <c:spPr/>
              <c:txPr>
                <a:bodyPr rot="-5400000" vert="horz"/>
                <a:lstStyle/>
                <a:p>
                  <a:pPr>
                    <a:defRPr>
                      <a:solidFill>
                        <a:schemeClr val="bg1"/>
                      </a:solidFill>
                    </a:defRPr>
                  </a:pPr>
                  <a:endParaRPr lang="de-DE"/>
                </a:p>
              </c:txPr>
              <c:dLblPos val="inBase"/>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0B3-4D8F-BE65-E6563E2AF29C}"/>
                </c:ext>
              </c:extLst>
            </c:dLbl>
            <c:spPr>
              <a:noFill/>
              <a:ln>
                <a:noFill/>
              </a:ln>
              <a:effectLst/>
            </c:spPr>
            <c:txPr>
              <a:bodyPr/>
              <a:lstStyle/>
              <a:p>
                <a:pPr>
                  <a:defRPr>
                    <a:solidFill>
                      <a:schemeClr val="bg1"/>
                    </a:solidFill>
                  </a:defRPr>
                </a:pPr>
                <a:endParaRPr lang="de-DE"/>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Basisdaten!$E$196</c:f>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Basisdaten!$G$196</c15:sqref>
                        </c15:formulaRef>
                      </c:ext>
                    </c:extLst>
                  </c:multiLvlStrRef>
                </c15:cat>
              </c15:filteredCategoryTitle>
            </c:ext>
            <c:ext xmlns:c16="http://schemas.microsoft.com/office/drawing/2014/chart" uri="{C3380CC4-5D6E-409C-BE32-E72D297353CC}">
              <c16:uniqueId val="{00000001-70B3-4D8F-BE65-E6563E2AF29C}"/>
            </c:ext>
          </c:extLst>
        </c:ser>
        <c:ser>
          <c:idx val="1"/>
          <c:order val="1"/>
          <c:tx>
            <c:strRef>
              <c:f>Basisdaten!$F$195</c:f>
              <c:strCache>
                <c:ptCount val="1"/>
                <c:pt idx="0">
                  <c:v>IST-Wert</c:v>
                </c:pt>
              </c:strCache>
            </c:strRef>
          </c:tx>
          <c:spPr>
            <a:solidFill>
              <a:srgbClr val="FFC000"/>
            </a:solidFill>
          </c:spPr>
          <c:invertIfNegative val="0"/>
          <c:dPt>
            <c:idx val="0"/>
            <c:invertIfNegative val="0"/>
            <c:bubble3D val="0"/>
            <c:spPr>
              <a:solidFill>
                <a:srgbClr val="FC9804"/>
              </a:solidFill>
            </c:spPr>
            <c:extLst xmlns:c16r2="http://schemas.microsoft.com/office/drawing/2015/06/chart">
              <c:ext xmlns:c16="http://schemas.microsoft.com/office/drawing/2014/chart" uri="{C3380CC4-5D6E-409C-BE32-E72D297353CC}">
                <c16:uniqueId val="{00000002-70B3-4D8F-BE65-E6563E2AF29C}"/>
              </c:ext>
            </c:extLst>
          </c:dPt>
          <c:dLbls>
            <c:spPr>
              <a:noFill/>
              <a:ln>
                <a:noFill/>
              </a:ln>
              <a:effectLst/>
            </c:spPr>
            <c:txPr>
              <a:bodyPr rot="-5400000" vert="horz"/>
              <a:lstStyle/>
              <a:p>
                <a:pPr>
                  <a:defRPr>
                    <a:solidFill>
                      <a:schemeClr val="bg1"/>
                    </a:solidFill>
                  </a:defRPr>
                </a:pPr>
                <a:endParaRPr lang="de-DE"/>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Basisdaten!$F$196</c:f>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Basisdaten!$G$196</c15:sqref>
                        </c15:formulaRef>
                      </c:ext>
                    </c:extLst>
                  </c:multiLvlStrRef>
                </c15:cat>
              </c15:filteredCategoryTitle>
            </c:ext>
            <c:ext xmlns:c16="http://schemas.microsoft.com/office/drawing/2014/chart" uri="{C3380CC4-5D6E-409C-BE32-E72D297353CC}">
              <c16:uniqueId val="{00000003-70B3-4D8F-BE65-E6563E2AF29C}"/>
            </c:ext>
          </c:extLst>
        </c:ser>
        <c:dLbls>
          <c:showLegendKey val="0"/>
          <c:showVal val="0"/>
          <c:showCatName val="0"/>
          <c:showSerName val="0"/>
          <c:showPercent val="0"/>
          <c:showBubbleSize val="0"/>
        </c:dLbls>
        <c:gapWidth val="150"/>
        <c:axId val="163649408"/>
        <c:axId val="163650944"/>
      </c:barChart>
      <c:catAx>
        <c:axId val="163649408"/>
        <c:scaling>
          <c:orientation val="minMax"/>
        </c:scaling>
        <c:delete val="0"/>
        <c:axPos val="b"/>
        <c:majorTickMark val="out"/>
        <c:minorTickMark val="none"/>
        <c:tickLblPos val="nextTo"/>
        <c:crossAx val="163650944"/>
        <c:crosses val="autoZero"/>
        <c:auto val="1"/>
        <c:lblAlgn val="ctr"/>
        <c:lblOffset val="100"/>
        <c:noMultiLvlLbl val="0"/>
      </c:catAx>
      <c:valAx>
        <c:axId val="163650944"/>
        <c:scaling>
          <c:orientation val="minMax"/>
          <c:min val="0"/>
        </c:scaling>
        <c:delete val="0"/>
        <c:axPos val="l"/>
        <c:majorGridlines>
          <c:spPr>
            <a:ln>
              <a:solidFill>
                <a:schemeClr val="bg1">
                  <a:lumMod val="75000"/>
                </a:schemeClr>
              </a:solidFill>
            </a:ln>
          </c:spPr>
        </c:majorGridlines>
        <c:numFmt formatCode="0.0\ &quot;kWh/m²a&quot;" sourceLinked="0"/>
        <c:majorTickMark val="out"/>
        <c:minorTickMark val="in"/>
        <c:tickLblPos val="nextTo"/>
        <c:spPr>
          <a:noFill/>
          <a:ln>
            <a:solidFill>
              <a:schemeClr val="bg1">
                <a:lumMod val="75000"/>
              </a:schemeClr>
            </a:solidFill>
          </a:ln>
        </c:spPr>
        <c:crossAx val="163649408"/>
        <c:crosses val="autoZero"/>
        <c:crossBetween val="between"/>
        <c:majorUnit val="50"/>
        <c:minorUnit val="10"/>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50" normalizeH="0" baseline="0">
                <a:solidFill>
                  <a:sysClr val="windowText" lastClr="000000"/>
                </a:solidFill>
                <a:latin typeface="+mn-lt"/>
                <a:ea typeface="+mj-ea"/>
                <a:cs typeface="Arial" panose="020B0604020202020204" pitchFamily="34" charset="0"/>
              </a:defRPr>
            </a:pPr>
            <a:r>
              <a:rPr lang="en-GB" sz="1400" b="1">
                <a:solidFill>
                  <a:sysClr val="windowText" lastClr="000000"/>
                </a:solidFill>
                <a:latin typeface="+mn-lt"/>
                <a:cs typeface="Arial" panose="020B0604020202020204" pitchFamily="34" charset="0"/>
              </a:rPr>
              <a:t>CO</a:t>
            </a:r>
            <a:r>
              <a:rPr lang="en-GB" sz="1100" b="1">
                <a:solidFill>
                  <a:sysClr val="windowText" lastClr="000000"/>
                </a:solidFill>
                <a:latin typeface="+mn-lt"/>
                <a:cs typeface="Arial" panose="020B0604020202020204" pitchFamily="34" charset="0"/>
              </a:rPr>
              <a:t>2</a:t>
            </a:r>
            <a:r>
              <a:rPr lang="en-GB" sz="1400" b="1">
                <a:solidFill>
                  <a:sysClr val="windowText" lastClr="000000"/>
                </a:solidFill>
                <a:latin typeface="+mn-lt"/>
                <a:cs typeface="Arial" panose="020B0604020202020204" pitchFamily="34" charset="0"/>
              </a:rPr>
              <a:t>-Emissionen</a:t>
            </a:r>
            <a:r>
              <a:rPr lang="en-GB" sz="1400" b="1" baseline="0">
                <a:solidFill>
                  <a:sysClr val="windowText" lastClr="000000"/>
                </a:solidFill>
                <a:latin typeface="+mn-lt"/>
                <a:cs typeface="Arial" panose="020B0604020202020204" pitchFamily="34" charset="0"/>
              </a:rPr>
              <a:t> Heizsystem entsprechen gefahrene km mit PKW</a:t>
            </a:r>
            <a:endParaRPr lang="en-GB" sz="1400" b="1">
              <a:solidFill>
                <a:sysClr val="windowText" lastClr="000000"/>
              </a:solidFill>
              <a:latin typeface="+mn-lt"/>
              <a:cs typeface="Arial" panose="020B0604020202020204" pitchFamily="34" charset="0"/>
            </a:endParaRPr>
          </a:p>
        </c:rich>
      </c:tx>
      <c:overlay val="0"/>
      <c:spPr>
        <a:noFill/>
        <a:ln>
          <a:noFill/>
        </a:ln>
        <a:effectLst/>
      </c:spPr>
    </c:title>
    <c:autoTitleDeleted val="0"/>
    <c:plotArea>
      <c:layout>
        <c:manualLayout>
          <c:layoutTarget val="inner"/>
          <c:xMode val="edge"/>
          <c:yMode val="edge"/>
          <c:x val="0.21013837213361256"/>
          <c:y val="0.32958272423700569"/>
          <c:w val="0.76200653849566635"/>
          <c:h val="0.52143091132032227"/>
        </c:manualLayout>
      </c:layout>
      <c:bubbleChart>
        <c:varyColors val="0"/>
        <c:ser>
          <c:idx val="0"/>
          <c:order val="0"/>
          <c:tx>
            <c:strRef>
              <c:f>Wirtschaftlichkeitsberechnung!$AR$150</c:f>
              <c:strCache>
                <c:ptCount val="1"/>
              </c:strCache>
            </c:strRef>
          </c:tx>
          <c:spPr>
            <a:noFill/>
            <a:ln w="38100">
              <a:solidFill>
                <a:srgbClr val="D60093"/>
              </a:solidFill>
            </a:ln>
            <a:effectLst/>
          </c:spPr>
          <c:invertIfNegative val="0"/>
          <c:dLbls>
            <c:dLbl>
              <c:idx val="0"/>
              <c:layout>
                <c:manualLayout>
                  <c:x val="-6.6071767837305562E-2"/>
                  <c:y val="8.56075752383052E-2"/>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lumMod val="75000"/>
                          <a:lumOff val="25000"/>
                        </a:schemeClr>
                      </a:solidFill>
                      <a:latin typeface="+mn-lt"/>
                      <a:ea typeface="+mn-ea"/>
                      <a:cs typeface="+mn-cs"/>
                    </a:defRPr>
                  </a:pPr>
                  <a:endParaRPr lang="de-DE"/>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24979702098484588"/>
                      <c:h val="7.163334599097089E-2"/>
                    </c:manualLayout>
                  </c15:layout>
                </c:ext>
                <c:ext xmlns:c16="http://schemas.microsoft.com/office/drawing/2014/chart" uri="{C3380CC4-5D6E-409C-BE32-E72D297353CC}">
                  <c16:uniqueId val="{00000000-6F5D-459D-968E-5441DE77C95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1"/>
              <c:pt idx="0">
                <c:v>1</c:v>
              </c:pt>
            </c:numLit>
          </c:xVal>
          <c:yVal>
            <c:numRef>
              <c:f>Wirtschaftlichkeitsberechnung!$AR$153</c:f>
              <c:numCache>
                <c:formatCode>#,##0\ "km/a"</c:formatCode>
                <c:ptCount val="1"/>
                <c:pt idx="0">
                  <c:v>0</c:v>
                </c:pt>
              </c:numCache>
            </c:numRef>
          </c:yVal>
          <c:bubbleSize>
            <c:numRef>
              <c:f>Wirtschaftlichkeitsberechnung!$AR$153</c:f>
              <c:numCache>
                <c:formatCode>#,##0\ "km/a"</c:formatCode>
                <c:ptCount val="1"/>
                <c:pt idx="0">
                  <c:v>0</c:v>
                </c:pt>
              </c:numCache>
            </c:numRef>
          </c:bubbleSize>
          <c:bubble3D val="0"/>
          <c:extLst xmlns:c16r2="http://schemas.microsoft.com/office/drawing/2015/06/chart">
            <c:ext xmlns:c16="http://schemas.microsoft.com/office/drawing/2014/chart" uri="{C3380CC4-5D6E-409C-BE32-E72D297353CC}">
              <c16:uniqueId val="{00000001-6F5D-459D-968E-5441DE77C955}"/>
            </c:ext>
          </c:extLst>
        </c:ser>
        <c:ser>
          <c:idx val="1"/>
          <c:order val="1"/>
          <c:tx>
            <c:strRef>
              <c:f>Wirtschaftlichkeitsberechnung!$AS$150</c:f>
              <c:strCache>
                <c:ptCount val="1"/>
              </c:strCache>
            </c:strRef>
          </c:tx>
          <c:spPr>
            <a:noFill/>
            <a:ln w="38100">
              <a:solidFill>
                <a:schemeClr val="accent5"/>
              </a:solidFill>
            </a:ln>
            <a:effectLst/>
          </c:spPr>
          <c:invertIfNegative val="0"/>
          <c:dLbls>
            <c:dLbl>
              <c:idx val="0"/>
              <c:layout>
                <c:manualLayout>
                  <c:x val="-1.7170603674540683E-2"/>
                  <c:y val="2.0520329231305718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de-DE"/>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F5D-459D-968E-5441DE77C9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1"/>
              <c:pt idx="0">
                <c:v>1.2</c:v>
              </c:pt>
            </c:numLit>
          </c:xVal>
          <c:yVal>
            <c:numRef>
              <c:f>Wirtschaftlichkeitsberechnung!$AS$153</c:f>
              <c:numCache>
                <c:formatCode>#,##0\ "km/a"</c:formatCode>
                <c:ptCount val="1"/>
                <c:pt idx="0">
                  <c:v>0</c:v>
                </c:pt>
              </c:numCache>
            </c:numRef>
          </c:yVal>
          <c:bubbleSize>
            <c:numRef>
              <c:f>Wirtschaftlichkeitsberechnung!$AS$153</c:f>
              <c:numCache>
                <c:formatCode>#,##0\ "km/a"</c:formatCode>
                <c:ptCount val="1"/>
                <c:pt idx="0">
                  <c:v>0</c:v>
                </c:pt>
              </c:numCache>
            </c:numRef>
          </c:bubbleSize>
          <c:bubble3D val="0"/>
          <c:extLst xmlns:c16r2="http://schemas.microsoft.com/office/drawing/2015/06/chart">
            <c:ext xmlns:c16="http://schemas.microsoft.com/office/drawing/2014/chart" uri="{C3380CC4-5D6E-409C-BE32-E72D297353CC}">
              <c16:uniqueId val="{00000003-6F5D-459D-968E-5441DE77C955}"/>
            </c:ext>
          </c:extLst>
        </c:ser>
        <c:ser>
          <c:idx val="2"/>
          <c:order val="2"/>
          <c:tx>
            <c:strRef>
              <c:f>Wirtschaftlichkeitsberechnung!$AT$150</c:f>
              <c:strCache>
                <c:ptCount val="1"/>
              </c:strCache>
            </c:strRef>
          </c:tx>
          <c:spPr>
            <a:noFill/>
            <a:ln w="38100">
              <a:solidFill>
                <a:srgbClr val="FFD13F"/>
              </a:solidFill>
            </a:ln>
            <a:effectLst/>
          </c:spPr>
          <c:invertIfNegative val="0"/>
          <c:dLbls>
            <c:dLbl>
              <c:idx val="0"/>
              <c:layout>
                <c:manualLayout>
                  <c:x val="3.8135273689256517E-2"/>
                  <c:y val="1.7067645191515281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de-DE"/>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F5D-459D-968E-5441DE77C9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1"/>
              <c:pt idx="0">
                <c:v>1.4</c:v>
              </c:pt>
            </c:numLit>
          </c:xVal>
          <c:yVal>
            <c:numRef>
              <c:f>Wirtschaftlichkeitsberechnung!$AT$153</c:f>
              <c:numCache>
                <c:formatCode>#,##0\ "km/a"</c:formatCode>
                <c:ptCount val="1"/>
                <c:pt idx="0">
                  <c:v>0</c:v>
                </c:pt>
              </c:numCache>
            </c:numRef>
          </c:yVal>
          <c:bubbleSize>
            <c:numRef>
              <c:f>Wirtschaftlichkeitsberechnung!$AT$153</c:f>
              <c:numCache>
                <c:formatCode>#,##0\ "km/a"</c:formatCode>
                <c:ptCount val="1"/>
                <c:pt idx="0">
                  <c:v>0</c:v>
                </c:pt>
              </c:numCache>
            </c:numRef>
          </c:bubbleSize>
          <c:bubble3D val="0"/>
          <c:extLst xmlns:c16r2="http://schemas.microsoft.com/office/drawing/2015/06/chart">
            <c:ext xmlns:c16="http://schemas.microsoft.com/office/drawing/2014/chart" uri="{C3380CC4-5D6E-409C-BE32-E72D297353CC}">
              <c16:uniqueId val="{00000005-6F5D-459D-968E-5441DE77C955}"/>
            </c:ext>
          </c:extLst>
        </c:ser>
        <c:dLbls>
          <c:dLblPos val="ctr"/>
          <c:showLegendKey val="0"/>
          <c:showVal val="1"/>
          <c:showCatName val="0"/>
          <c:showSerName val="0"/>
          <c:showPercent val="0"/>
          <c:showBubbleSize val="0"/>
        </c:dLbls>
        <c:bubbleScale val="300"/>
        <c:showNegBubbles val="0"/>
        <c:sizeRepresents val="w"/>
        <c:axId val="179214976"/>
        <c:axId val="179229056"/>
      </c:bubbleChart>
      <c:valAx>
        <c:axId val="179214976"/>
        <c:scaling>
          <c:orientation val="minMax"/>
        </c:scaling>
        <c:delete val="1"/>
        <c:axPos val="b"/>
        <c:numFmt formatCode="General" sourceLinked="1"/>
        <c:majorTickMark val="out"/>
        <c:minorTickMark val="none"/>
        <c:tickLblPos val="nextTo"/>
        <c:crossAx val="179229056"/>
        <c:crosses val="autoZero"/>
        <c:crossBetween val="midCat"/>
      </c:valAx>
      <c:valAx>
        <c:axId val="179229056"/>
        <c:scaling>
          <c:orientation val="minMax"/>
          <c:min val="0"/>
        </c:scaling>
        <c:delete val="0"/>
        <c:axPos val="l"/>
        <c:numFmt formatCode="#,##0\ &quot;km/a&quot;" sourceLinked="1"/>
        <c:majorTickMark val="out"/>
        <c:minorTickMark val="none"/>
        <c:tickLblPos val="nextTo"/>
        <c:spPr>
          <a:noFill/>
          <a:ln>
            <a:solidFill>
              <a:schemeClr val="tx1">
                <a:lumMod val="25000"/>
                <a:lumOff val="75000"/>
              </a:schemeClr>
            </a:solidFill>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79214976"/>
        <c:crossesAt val="0"/>
        <c:crossBetween val="midCat"/>
      </c:valAx>
      <c:spPr>
        <a:noFill/>
        <a:ln>
          <a:noFill/>
        </a:ln>
        <a:effectLst/>
      </c:spPr>
    </c:plotArea>
    <c:legend>
      <c:legendPos val="t"/>
      <c:layout>
        <c:manualLayout>
          <c:xMode val="edge"/>
          <c:yMode val="edge"/>
          <c:x val="4.4659113831058042E-2"/>
          <c:y val="0.14581410013219925"/>
          <c:w val="0.72275557969128001"/>
          <c:h val="0.137735616155155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sz="1400"/>
              <a:t>Addierte Gesamtkosten über 20 Jahre - Vergleich Heizsysteme</a:t>
            </a:r>
          </a:p>
        </c:rich>
      </c:tx>
      <c:overlay val="0"/>
    </c:title>
    <c:autoTitleDeleted val="0"/>
    <c:plotArea>
      <c:layout>
        <c:manualLayout>
          <c:layoutTarget val="inner"/>
          <c:xMode val="edge"/>
          <c:yMode val="edge"/>
          <c:x val="0.12550650679944711"/>
          <c:y val="0.26315551372837176"/>
          <c:w val="0.84916934626073293"/>
          <c:h val="0.60071573836136904"/>
        </c:manualLayout>
      </c:layout>
      <c:lineChart>
        <c:grouping val="standard"/>
        <c:varyColors val="0"/>
        <c:ser>
          <c:idx val="0"/>
          <c:order val="0"/>
          <c:tx>
            <c:strRef>
              <c:f>'Grafiken Kostenrechner'!$N$8</c:f>
              <c:strCache>
                <c:ptCount val="1"/>
                <c:pt idx="0">
                  <c:v>Gas-Brennwerttherme</c:v>
                </c:pt>
              </c:strCache>
            </c:strRef>
          </c:tx>
          <c:spPr>
            <a:ln>
              <a:solidFill>
                <a:srgbClr val="FFC000"/>
              </a:solidFill>
            </a:ln>
          </c:spPr>
          <c:marker>
            <c:symbol val="none"/>
          </c:marker>
          <c:val>
            <c:numRef>
              <c:f>'Grafiken Kostenrechner'!$N$9:$N$28</c:f>
              <c:numCache>
                <c:formatCode>"€"\ #,##0</c:formatCode>
                <c:ptCount val="20"/>
                <c:pt idx="0">
                  <c:v>11160</c:v>
                </c:pt>
                <c:pt idx="1">
                  <c:v>11324.8</c:v>
                </c:pt>
                <c:pt idx="2">
                  <c:v>11494.544</c:v>
                </c:pt>
                <c:pt idx="3">
                  <c:v>11669.38032</c:v>
                </c:pt>
                <c:pt idx="4">
                  <c:v>11849.4617296</c:v>
                </c:pt>
                <c:pt idx="5">
                  <c:v>12034.945581488</c:v>
                </c:pt>
                <c:pt idx="6">
                  <c:v>12225.993948932641</c:v>
                </c:pt>
                <c:pt idx="7">
                  <c:v>12422.773767400618</c:v>
                </c:pt>
                <c:pt idx="8">
                  <c:v>12625.456980422638</c:v>
                </c:pt>
                <c:pt idx="9">
                  <c:v>12834.220689835318</c:v>
                </c:pt>
                <c:pt idx="10">
                  <c:v>13049.247310530376</c:v>
                </c:pt>
                <c:pt idx="11">
                  <c:v>13270.724729846288</c:v>
                </c:pt>
                <c:pt idx="12">
                  <c:v>13498.846471741677</c:v>
                </c:pt>
                <c:pt idx="13">
                  <c:v>13733.811865893927</c:v>
                </c:pt>
                <c:pt idx="14">
                  <c:v>13975.826221870744</c:v>
                </c:pt>
                <c:pt idx="15">
                  <c:v>14225.101008526866</c:v>
                </c:pt>
                <c:pt idx="16">
                  <c:v>14481.854038782672</c:v>
                </c:pt>
                <c:pt idx="17">
                  <c:v>14746.309659946153</c:v>
                </c:pt>
                <c:pt idx="18">
                  <c:v>15018.698949744537</c:v>
                </c:pt>
                <c:pt idx="19">
                  <c:v>15299.259918236874</c:v>
                </c:pt>
              </c:numCache>
            </c:numRef>
          </c:val>
          <c:smooth val="0"/>
          <c:extLst xmlns:c16r2="http://schemas.microsoft.com/office/drawing/2015/06/chart">
            <c:ext xmlns:c16="http://schemas.microsoft.com/office/drawing/2014/chart" uri="{C3380CC4-5D6E-409C-BE32-E72D297353CC}">
              <c16:uniqueId val="{00000000-EB16-4AEE-B898-CE1C34EA7A8D}"/>
            </c:ext>
          </c:extLst>
        </c:ser>
        <c:ser>
          <c:idx val="1"/>
          <c:order val="1"/>
          <c:tx>
            <c:strRef>
              <c:f>'Grafiken Kostenrechner'!$O$8</c:f>
              <c:strCache>
                <c:ptCount val="1"/>
                <c:pt idx="0">
                  <c:v>Pelletsanlage</c:v>
                </c:pt>
              </c:strCache>
            </c:strRef>
          </c:tx>
          <c:spPr>
            <a:ln>
              <a:solidFill>
                <a:srgbClr val="D60093"/>
              </a:solidFill>
            </a:ln>
          </c:spPr>
          <c:marker>
            <c:symbol val="none"/>
          </c:marker>
          <c:val>
            <c:numRef>
              <c:f>'Grafiken Kostenrechner'!$O$9:$O$28</c:f>
              <c:numCache>
                <c:formatCode>"€"\ #,##0</c:formatCode>
                <c:ptCount val="20"/>
                <c:pt idx="0">
                  <c:v>19640</c:v>
                </c:pt>
                <c:pt idx="1">
                  <c:v>19928.400000000001</c:v>
                </c:pt>
                <c:pt idx="2">
                  <c:v>20225.452000000001</c:v>
                </c:pt>
                <c:pt idx="3">
                  <c:v>20531.415560000001</c:v>
                </c:pt>
                <c:pt idx="4">
                  <c:v>20846.558026800001</c:v>
                </c:pt>
                <c:pt idx="5">
                  <c:v>21171.154767603999</c:v>
                </c:pt>
                <c:pt idx="6">
                  <c:v>21505.489410632119</c:v>
                </c:pt>
                <c:pt idx="7">
                  <c:v>21849.854092951085</c:v>
                </c:pt>
                <c:pt idx="8">
                  <c:v>22204.549715739617</c:v>
                </c:pt>
                <c:pt idx="9">
                  <c:v>22569.886207211806</c:v>
                </c:pt>
                <c:pt idx="10">
                  <c:v>22946.182793428157</c:v>
                </c:pt>
                <c:pt idx="11">
                  <c:v>23333.768277231004</c:v>
                </c:pt>
                <c:pt idx="12">
                  <c:v>23732.981325547935</c:v>
                </c:pt>
                <c:pt idx="13">
                  <c:v>24144.170765314371</c:v>
                </c:pt>
                <c:pt idx="14">
                  <c:v>24567.695888273804</c:v>
                </c:pt>
                <c:pt idx="15">
                  <c:v>25003.926764922016</c:v>
                </c:pt>
                <c:pt idx="16">
                  <c:v>25453.244567869679</c:v>
                </c:pt>
                <c:pt idx="17">
                  <c:v>25916.041904905767</c:v>
                </c:pt>
                <c:pt idx="18">
                  <c:v>26392.723162052942</c:v>
                </c:pt>
                <c:pt idx="19">
                  <c:v>26883.70485691453</c:v>
                </c:pt>
              </c:numCache>
            </c:numRef>
          </c:val>
          <c:smooth val="0"/>
          <c:extLst xmlns:c16r2="http://schemas.microsoft.com/office/drawing/2015/06/chart">
            <c:ext xmlns:c16="http://schemas.microsoft.com/office/drawing/2014/chart" uri="{C3380CC4-5D6E-409C-BE32-E72D297353CC}">
              <c16:uniqueId val="{00000001-EB16-4AEE-B898-CE1C34EA7A8D}"/>
            </c:ext>
          </c:extLst>
        </c:ser>
        <c:ser>
          <c:idx val="2"/>
          <c:order val="2"/>
          <c:tx>
            <c:strRef>
              <c:f>'Grafiken Kostenrechner'!$P$8</c:f>
              <c:strCache>
                <c:ptCount val="1"/>
                <c:pt idx="0">
                  <c:v>Wärmepumpe Erdreich</c:v>
                </c:pt>
              </c:strCache>
            </c:strRef>
          </c:tx>
          <c:spPr>
            <a:ln>
              <a:solidFill>
                <a:srgbClr val="00CC66"/>
              </a:solidFill>
            </a:ln>
          </c:spPr>
          <c:marker>
            <c:symbol val="none"/>
          </c:marker>
          <c:val>
            <c:numRef>
              <c:f>'Grafiken Kostenrechner'!$P$9:$P$28</c:f>
              <c:numCache>
                <c:formatCode>"€"\ #,##0</c:formatCode>
                <c:ptCount val="20"/>
                <c:pt idx="0">
                  <c:v>23639</c:v>
                </c:pt>
                <c:pt idx="1">
                  <c:v>24039.67</c:v>
                </c:pt>
                <c:pt idx="2">
                  <c:v>24452.360100000002</c:v>
                </c:pt>
                <c:pt idx="3">
                  <c:v>24877.430903</c:v>
                </c:pt>
                <c:pt idx="4">
                  <c:v>25315.253830090001</c:v>
                </c:pt>
                <c:pt idx="5">
                  <c:v>25766.211444992699</c:v>
                </c:pt>
                <c:pt idx="6">
                  <c:v>26230.697788342481</c:v>
                </c:pt>
                <c:pt idx="7">
                  <c:v>26709.118721992756</c:v>
                </c:pt>
                <c:pt idx="8">
                  <c:v>27201.892283652538</c:v>
                </c:pt>
                <c:pt idx="9">
                  <c:v>27709.449052162116</c:v>
                </c:pt>
                <c:pt idx="10">
                  <c:v>28232.23252372698</c:v>
                </c:pt>
                <c:pt idx="11">
                  <c:v>28770.699499438786</c:v>
                </c:pt>
                <c:pt idx="12">
                  <c:v>29325.320484421951</c:v>
                </c:pt>
                <c:pt idx="13">
                  <c:v>29896.580098954611</c:v>
                </c:pt>
                <c:pt idx="14">
                  <c:v>30484.977501923247</c:v>
                </c:pt>
                <c:pt idx="15">
                  <c:v>31091.026826980946</c:v>
                </c:pt>
                <c:pt idx="16">
                  <c:v>31715.257631790373</c:v>
                </c:pt>
                <c:pt idx="17">
                  <c:v>32358.215360744085</c:v>
                </c:pt>
                <c:pt idx="18">
                  <c:v>33020.461821566409</c:v>
                </c:pt>
                <c:pt idx="19">
                  <c:v>33702.575676213397</c:v>
                </c:pt>
              </c:numCache>
            </c:numRef>
          </c:val>
          <c:smooth val="0"/>
          <c:extLst xmlns:c16r2="http://schemas.microsoft.com/office/drawing/2015/06/chart">
            <c:ext xmlns:c16="http://schemas.microsoft.com/office/drawing/2014/chart" uri="{C3380CC4-5D6E-409C-BE32-E72D297353CC}">
              <c16:uniqueId val="{00000002-EB16-4AEE-B898-CE1C34EA7A8D}"/>
            </c:ext>
          </c:extLst>
        </c:ser>
        <c:dLbls>
          <c:showLegendKey val="0"/>
          <c:showVal val="0"/>
          <c:showCatName val="0"/>
          <c:showSerName val="0"/>
          <c:showPercent val="0"/>
          <c:showBubbleSize val="0"/>
        </c:dLbls>
        <c:marker val="1"/>
        <c:smooth val="0"/>
        <c:axId val="181494912"/>
        <c:axId val="181496448"/>
      </c:lineChart>
      <c:catAx>
        <c:axId val="181494912"/>
        <c:scaling>
          <c:orientation val="minMax"/>
        </c:scaling>
        <c:delete val="0"/>
        <c:axPos val="b"/>
        <c:majorTickMark val="none"/>
        <c:minorTickMark val="none"/>
        <c:tickLblPos val="nextTo"/>
        <c:txPr>
          <a:bodyPr/>
          <a:lstStyle/>
          <a:p>
            <a:pPr>
              <a:defRPr sz="1100"/>
            </a:pPr>
            <a:endParaRPr lang="de-DE"/>
          </a:p>
        </c:txPr>
        <c:crossAx val="181496448"/>
        <c:crosses val="autoZero"/>
        <c:auto val="1"/>
        <c:lblAlgn val="ctr"/>
        <c:lblOffset val="100"/>
        <c:noMultiLvlLbl val="0"/>
      </c:catAx>
      <c:valAx>
        <c:axId val="181496448"/>
        <c:scaling>
          <c:orientation val="minMax"/>
        </c:scaling>
        <c:delete val="0"/>
        <c:axPos val="l"/>
        <c:majorGridlines>
          <c:spPr>
            <a:ln>
              <a:solidFill>
                <a:schemeClr val="bg1">
                  <a:lumMod val="75000"/>
                </a:schemeClr>
              </a:solidFill>
            </a:ln>
          </c:spPr>
        </c:majorGridlines>
        <c:title>
          <c:tx>
            <c:rich>
              <a:bodyPr rot="0" vert="horz"/>
              <a:lstStyle/>
              <a:p>
                <a:pPr>
                  <a:defRPr sz="1100"/>
                </a:pPr>
                <a:r>
                  <a:rPr lang="de-AT" sz="1100"/>
                  <a:t>Jahre</a:t>
                </a:r>
              </a:p>
            </c:rich>
          </c:tx>
          <c:layout>
            <c:manualLayout>
              <c:xMode val="edge"/>
              <c:yMode val="edge"/>
              <c:x val="0.50450443943528422"/>
              <c:y val="0.93366202554001954"/>
            </c:manualLayout>
          </c:layout>
          <c:overlay val="0"/>
        </c:title>
        <c:numFmt formatCode="&quot;€&quot;\ #,##0" sourceLinked="1"/>
        <c:majorTickMark val="none"/>
        <c:minorTickMark val="none"/>
        <c:tickLblPos val="nextTo"/>
        <c:spPr>
          <a:ln>
            <a:solidFill>
              <a:schemeClr val="bg1">
                <a:lumMod val="75000"/>
              </a:schemeClr>
            </a:solidFill>
          </a:ln>
        </c:spPr>
        <c:txPr>
          <a:bodyPr/>
          <a:lstStyle/>
          <a:p>
            <a:pPr>
              <a:defRPr sz="1100"/>
            </a:pPr>
            <a:endParaRPr lang="de-DE"/>
          </a:p>
        </c:txPr>
        <c:crossAx val="181494912"/>
        <c:crosses val="autoZero"/>
        <c:crossBetween val="between"/>
      </c:valAx>
      <c:spPr>
        <a:noFill/>
        <a:ln>
          <a:noFill/>
        </a:ln>
      </c:spPr>
    </c:plotArea>
    <c:legend>
      <c:legendPos val="r"/>
      <c:layout>
        <c:manualLayout>
          <c:xMode val="edge"/>
          <c:yMode val="edge"/>
          <c:x val="0.11636310544950179"/>
          <c:y val="0.10404504358153555"/>
          <c:w val="0.36439044227457551"/>
          <c:h val="0.16797094823337647"/>
        </c:manualLayout>
      </c:layout>
      <c:overlay val="0"/>
      <c:txPr>
        <a:bodyPr/>
        <a:lstStyle/>
        <a:p>
          <a:pPr>
            <a:defRPr sz="1100"/>
          </a:pPr>
          <a:endParaRPr lang="de-DE"/>
        </a:p>
      </c:txPr>
    </c:legend>
    <c:plotVisOnly val="1"/>
    <c:dispBlanksAs val="gap"/>
    <c:showDLblsOverMax val="0"/>
  </c:chart>
  <c:printSettings>
    <c:headerFooter/>
    <c:pageMargins b="0.78740157499999996" l="0.70000000000000062" r="0.70000000000000062" t="0.7874015749999999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423507147443477"/>
          <c:y val="0.14980155155882274"/>
          <c:w val="0.51880729501087064"/>
          <c:h val="0.73421855478397302"/>
        </c:manualLayout>
      </c:layout>
      <c:barChart>
        <c:barDir val="col"/>
        <c:grouping val="clustered"/>
        <c:varyColors val="0"/>
        <c:ser>
          <c:idx val="0"/>
          <c:order val="0"/>
          <c:tx>
            <c:strRef>
              <c:f>Basisdaten!$E$195</c:f>
              <c:strCache>
                <c:ptCount val="1"/>
                <c:pt idx="0">
                  <c:v>Anforderung</c:v>
                </c:pt>
              </c:strCache>
            </c:strRef>
          </c:tx>
          <c:spPr>
            <a:solidFill>
              <a:srgbClr val="C00000"/>
            </a:solidFill>
          </c:spPr>
          <c:invertIfNegative val="0"/>
          <c:dLbls>
            <c:spPr>
              <a:noFill/>
            </c:spPr>
            <c:txPr>
              <a:bodyPr rot="-5400000" vert="horz"/>
              <a:lstStyle/>
              <a:p>
                <a:pPr>
                  <a:defRPr>
                    <a:solidFill>
                      <a:schemeClr val="bg1"/>
                    </a:solidFill>
                  </a:defRPr>
                </a:pPr>
                <a:endParaRPr lang="de-DE"/>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Basisdaten!$E$197</c:f>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Basisdaten!$G$197</c15:sqref>
                        </c15:formulaRef>
                      </c:ext>
                    </c:extLst>
                  </c:multiLvlStrRef>
                </c15:cat>
              </c15:filteredCategoryTitle>
            </c:ext>
            <c:ext xmlns:c16="http://schemas.microsoft.com/office/drawing/2014/chart" uri="{C3380CC4-5D6E-409C-BE32-E72D297353CC}">
              <c16:uniqueId val="{00000000-63CE-494E-9899-921683BC0C15}"/>
            </c:ext>
          </c:extLst>
        </c:ser>
        <c:ser>
          <c:idx val="1"/>
          <c:order val="1"/>
          <c:tx>
            <c:strRef>
              <c:f>Basisdaten!$F$195</c:f>
              <c:strCache>
                <c:ptCount val="1"/>
                <c:pt idx="0">
                  <c:v>IST-Wert</c:v>
                </c:pt>
              </c:strCache>
            </c:strRef>
          </c:tx>
          <c:spPr>
            <a:solidFill>
              <a:srgbClr val="FC9804"/>
            </a:solidFill>
          </c:spPr>
          <c:invertIfNegative val="0"/>
          <c:dLbls>
            <c:spPr>
              <a:noFill/>
              <a:ln>
                <a:noFill/>
              </a:ln>
              <a:effectLst/>
            </c:spPr>
            <c:txPr>
              <a:bodyPr rot="-5400000" vert="horz"/>
              <a:lstStyle/>
              <a:p>
                <a:pPr>
                  <a:defRPr>
                    <a:solidFill>
                      <a:schemeClr val="bg1"/>
                    </a:solidFill>
                  </a:defRPr>
                </a:pPr>
                <a:endParaRPr lang="de-DE"/>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Basisdaten!$F$197</c:f>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Basisdaten!$G$197</c15:sqref>
                        </c15:formulaRef>
                      </c:ext>
                    </c:extLst>
                  </c:multiLvlStrRef>
                </c15:cat>
              </c15:filteredCategoryTitle>
            </c:ext>
            <c:ext xmlns:c16="http://schemas.microsoft.com/office/drawing/2014/chart" uri="{C3380CC4-5D6E-409C-BE32-E72D297353CC}">
              <c16:uniqueId val="{00000001-63CE-494E-9899-921683BC0C15}"/>
            </c:ext>
          </c:extLst>
        </c:ser>
        <c:dLbls>
          <c:showLegendKey val="0"/>
          <c:showVal val="0"/>
          <c:showCatName val="0"/>
          <c:showSerName val="0"/>
          <c:showPercent val="0"/>
          <c:showBubbleSize val="0"/>
        </c:dLbls>
        <c:gapWidth val="150"/>
        <c:axId val="163959936"/>
        <c:axId val="163961472"/>
      </c:barChart>
      <c:catAx>
        <c:axId val="163959936"/>
        <c:scaling>
          <c:orientation val="minMax"/>
        </c:scaling>
        <c:delete val="0"/>
        <c:axPos val="b"/>
        <c:majorTickMark val="out"/>
        <c:minorTickMark val="none"/>
        <c:tickLblPos val="nextTo"/>
        <c:crossAx val="163961472"/>
        <c:crosses val="autoZero"/>
        <c:auto val="1"/>
        <c:lblAlgn val="ctr"/>
        <c:lblOffset val="100"/>
        <c:noMultiLvlLbl val="0"/>
      </c:catAx>
      <c:valAx>
        <c:axId val="163961472"/>
        <c:scaling>
          <c:orientation val="minMax"/>
          <c:min val="0"/>
        </c:scaling>
        <c:delete val="0"/>
        <c:axPos val="l"/>
        <c:majorGridlines>
          <c:spPr>
            <a:ln>
              <a:solidFill>
                <a:schemeClr val="bg1">
                  <a:lumMod val="75000"/>
                </a:schemeClr>
              </a:solidFill>
            </a:ln>
          </c:spPr>
        </c:majorGridlines>
        <c:numFmt formatCode="0.0\ &quot;kg/m²a&quot;" sourceLinked="1"/>
        <c:majorTickMark val="out"/>
        <c:minorTickMark val="in"/>
        <c:tickLblPos val="nextTo"/>
        <c:spPr>
          <a:noFill/>
          <a:ln>
            <a:solidFill>
              <a:schemeClr val="bg1">
                <a:lumMod val="75000"/>
              </a:schemeClr>
            </a:solidFill>
          </a:ln>
        </c:spPr>
        <c:crossAx val="163959936"/>
        <c:crosses val="autoZero"/>
        <c:crossBetween val="between"/>
        <c:majorUnit val="5"/>
        <c:minorUnit val="1"/>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61504811898511"/>
          <c:y val="0.14980155155882274"/>
          <c:w val="0.53893278557571556"/>
          <c:h val="0.73421855478397302"/>
        </c:manualLayout>
      </c:layout>
      <c:barChart>
        <c:barDir val="col"/>
        <c:grouping val="clustered"/>
        <c:varyColors val="0"/>
        <c:ser>
          <c:idx val="0"/>
          <c:order val="0"/>
          <c:tx>
            <c:strRef>
              <c:f>Basisdaten!$E$195</c:f>
              <c:strCache>
                <c:ptCount val="1"/>
                <c:pt idx="0">
                  <c:v>Anforderung</c:v>
                </c:pt>
              </c:strCache>
            </c:strRef>
          </c:tx>
          <c:spPr>
            <a:solidFill>
              <a:srgbClr val="C00000"/>
            </a:solidFill>
          </c:spPr>
          <c:invertIfNegative val="0"/>
          <c:dLbls>
            <c:spPr>
              <a:noFill/>
              <a:ln>
                <a:noFill/>
              </a:ln>
              <a:effectLst/>
            </c:spPr>
            <c:txPr>
              <a:bodyPr rot="-5400000" vert="horz"/>
              <a:lstStyle/>
              <a:p>
                <a:pPr>
                  <a:defRPr>
                    <a:solidFill>
                      <a:schemeClr val="bg1"/>
                    </a:solidFill>
                  </a:defRPr>
                </a:pPr>
                <a:endParaRPr lang="de-DE"/>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Basisdaten!$A$198</c:f>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Basisdaten!$G$198</c15:sqref>
                        </c15:formulaRef>
                      </c:ext>
                    </c:extLst>
                  </c:multiLvlStrRef>
                </c15:cat>
              </c15:filteredCategoryTitle>
            </c:ext>
            <c:ext xmlns:c16="http://schemas.microsoft.com/office/drawing/2014/chart" uri="{C3380CC4-5D6E-409C-BE32-E72D297353CC}">
              <c16:uniqueId val="{00000000-7BF1-4C18-9826-462DBE28A78C}"/>
            </c:ext>
          </c:extLst>
        </c:ser>
        <c:ser>
          <c:idx val="1"/>
          <c:order val="1"/>
          <c:tx>
            <c:strRef>
              <c:f>Basisdaten!$F$195</c:f>
              <c:strCache>
                <c:ptCount val="1"/>
                <c:pt idx="0">
                  <c:v>IST-Wert</c:v>
                </c:pt>
              </c:strCache>
            </c:strRef>
          </c:tx>
          <c:spPr>
            <a:solidFill>
              <a:srgbClr val="FC9804"/>
            </a:solidFill>
          </c:spPr>
          <c:invertIfNegative val="0"/>
          <c:dLbls>
            <c:spPr>
              <a:noFill/>
              <a:ln>
                <a:noFill/>
              </a:ln>
              <a:effectLst/>
            </c:spPr>
            <c:txPr>
              <a:bodyPr rot="-5400000" vert="horz"/>
              <a:lstStyle/>
              <a:p>
                <a:pPr>
                  <a:defRPr>
                    <a:solidFill>
                      <a:schemeClr val="bg1"/>
                    </a:solidFill>
                  </a:defRPr>
                </a:pPr>
                <a:endParaRPr lang="de-DE"/>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Basisdaten!$B$198</c:f>
            </c:numRef>
          </c:val>
          <c:extLst xmlns:c16r2="http://schemas.microsoft.com/office/drawing/2015/06/chart">
            <c:ext xmlns:c15="http://schemas.microsoft.com/office/drawing/2012/chart" uri="{02D57815-91ED-43cb-92C2-25804820EDAC}">
              <c15:filteredCategoryTitle>
                <c15:cat>
                  <c:multiLvlStrRef>
                    <c:extLst xmlns:c16="http://schemas.microsoft.com/office/drawing/2014/chart">
                      <c:ext uri="{02D57815-91ED-43cb-92C2-25804820EDAC}">
                        <c15:formulaRef>
                          <c15:sqref>Basisdaten!$G$198</c15:sqref>
                        </c15:formulaRef>
                      </c:ext>
                    </c:extLst>
                  </c:multiLvlStrRef>
                </c15:cat>
              </c15:filteredCategoryTitle>
            </c:ext>
            <c:ext xmlns:c16="http://schemas.microsoft.com/office/drawing/2014/chart" uri="{C3380CC4-5D6E-409C-BE32-E72D297353CC}">
              <c16:uniqueId val="{00000001-7BF1-4C18-9826-462DBE28A78C}"/>
            </c:ext>
          </c:extLst>
        </c:ser>
        <c:dLbls>
          <c:showLegendKey val="0"/>
          <c:showVal val="0"/>
          <c:showCatName val="0"/>
          <c:showSerName val="0"/>
          <c:showPercent val="0"/>
          <c:showBubbleSize val="0"/>
        </c:dLbls>
        <c:gapWidth val="150"/>
        <c:axId val="167727872"/>
        <c:axId val="167729408"/>
      </c:barChart>
      <c:catAx>
        <c:axId val="167727872"/>
        <c:scaling>
          <c:orientation val="minMax"/>
        </c:scaling>
        <c:delete val="0"/>
        <c:axPos val="b"/>
        <c:numFmt formatCode="General" sourceLinked="1"/>
        <c:majorTickMark val="out"/>
        <c:minorTickMark val="none"/>
        <c:tickLblPos val="nextTo"/>
        <c:crossAx val="167729408"/>
        <c:crosses val="autoZero"/>
        <c:auto val="1"/>
        <c:lblAlgn val="ctr"/>
        <c:lblOffset val="100"/>
        <c:noMultiLvlLbl val="0"/>
      </c:catAx>
      <c:valAx>
        <c:axId val="167729408"/>
        <c:scaling>
          <c:orientation val="minMax"/>
          <c:min val="0"/>
        </c:scaling>
        <c:delete val="0"/>
        <c:axPos val="l"/>
        <c:majorGridlines>
          <c:spPr>
            <a:ln>
              <a:solidFill>
                <a:schemeClr val="bg1">
                  <a:lumMod val="75000"/>
                </a:schemeClr>
              </a:solidFill>
            </a:ln>
          </c:spPr>
        </c:majorGridlines>
        <c:numFmt formatCode="0.0" sourceLinked="1"/>
        <c:majorTickMark val="out"/>
        <c:minorTickMark val="in"/>
        <c:tickLblPos val="nextTo"/>
        <c:spPr>
          <a:noFill/>
          <a:ln>
            <a:solidFill>
              <a:schemeClr val="bg1">
                <a:lumMod val="75000"/>
              </a:schemeClr>
            </a:solidFill>
          </a:ln>
        </c:spPr>
        <c:crossAx val="167727872"/>
        <c:crosses val="autoZero"/>
        <c:crossBetween val="between"/>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613440716472831"/>
          <c:y val="0.14980155155882274"/>
          <c:w val="0.50156701740868481"/>
          <c:h val="0.73421855478397302"/>
        </c:manualLayout>
      </c:layout>
      <c:barChart>
        <c:barDir val="col"/>
        <c:grouping val="clustered"/>
        <c:varyColors val="0"/>
        <c:ser>
          <c:idx val="0"/>
          <c:order val="0"/>
          <c:tx>
            <c:strRef>
              <c:f>'Vereinfachtes Verfahren'!$E$16</c:f>
              <c:strCache>
                <c:ptCount val="1"/>
              </c:strCache>
            </c:strRef>
          </c:tx>
          <c:spPr>
            <a:solidFill>
              <a:srgbClr val="C00000"/>
            </a:solidFill>
          </c:spPr>
          <c:invertIfNegative val="0"/>
          <c:dLbls>
            <c:dLbl>
              <c:idx val="0"/>
              <c:spPr/>
              <c:txPr>
                <a:bodyPr rot="-5400000" vert="horz"/>
                <a:lstStyle/>
                <a:p>
                  <a:pPr>
                    <a:defRPr>
                      <a:solidFill>
                        <a:schemeClr val="bg1"/>
                      </a:solidFill>
                    </a:defRPr>
                  </a:pPr>
                  <a:endParaRPr lang="de-DE"/>
                </a:p>
              </c:txPr>
              <c:dLblPos val="inBase"/>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2ED-4C33-BBBC-83C802586AC1}"/>
                </c:ext>
              </c:extLst>
            </c:dLbl>
            <c:spPr>
              <a:noFill/>
              <a:ln>
                <a:noFill/>
              </a:ln>
              <a:effectLst/>
            </c:spPr>
            <c:txPr>
              <a:bodyPr/>
              <a:lstStyle/>
              <a:p>
                <a:pPr>
                  <a:defRPr>
                    <a:solidFill>
                      <a:schemeClr val="bg1"/>
                    </a:solidFill>
                  </a:defRPr>
                </a:pPr>
                <a:endParaRPr lang="de-DE"/>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'Vereinfachtes Verfahren'!$G$17</c:f>
              <c:strCache>
                <c:ptCount val="1"/>
                <c:pt idx="0">
                  <c:v>PEB</c:v>
                </c:pt>
              </c:strCache>
            </c:strRef>
          </c:cat>
          <c:val>
            <c:numRef>
              <c:f>'Vereinfachtes Verfahren'!$E$17</c:f>
              <c:numCache>
                <c:formatCode>0.0\ "kWh/m²a"</c:formatCode>
                <c:ptCount val="1"/>
                <c:pt idx="0">
                  <c:v>0</c:v>
                </c:pt>
              </c:numCache>
            </c:numRef>
          </c:val>
          <c:extLst xmlns:c16r2="http://schemas.microsoft.com/office/drawing/2015/06/chart">
            <c:ext xmlns:c16="http://schemas.microsoft.com/office/drawing/2014/chart" uri="{C3380CC4-5D6E-409C-BE32-E72D297353CC}">
              <c16:uniqueId val="{00000001-92ED-4C33-BBBC-83C802586AC1}"/>
            </c:ext>
          </c:extLst>
        </c:ser>
        <c:ser>
          <c:idx val="1"/>
          <c:order val="1"/>
          <c:tx>
            <c:strRef>
              <c:f>'Vereinfachtes Verfahren'!$F$16</c:f>
              <c:strCache>
                <c:ptCount val="1"/>
              </c:strCache>
            </c:strRef>
          </c:tx>
          <c:spPr>
            <a:solidFill>
              <a:srgbClr val="FFC000"/>
            </a:solidFill>
          </c:spPr>
          <c:invertIfNegative val="0"/>
          <c:dPt>
            <c:idx val="0"/>
            <c:invertIfNegative val="0"/>
            <c:bubble3D val="0"/>
            <c:spPr>
              <a:solidFill>
                <a:srgbClr val="FC9804"/>
              </a:solidFill>
            </c:spPr>
            <c:extLst xmlns:c16r2="http://schemas.microsoft.com/office/drawing/2015/06/chart">
              <c:ext xmlns:c16="http://schemas.microsoft.com/office/drawing/2014/chart" uri="{C3380CC4-5D6E-409C-BE32-E72D297353CC}">
                <c16:uniqueId val="{00000002-92ED-4C33-BBBC-83C802586AC1}"/>
              </c:ext>
            </c:extLst>
          </c:dPt>
          <c:dLbls>
            <c:spPr>
              <a:noFill/>
              <a:ln>
                <a:noFill/>
              </a:ln>
              <a:effectLst/>
            </c:spPr>
            <c:txPr>
              <a:bodyPr rot="-5400000" vert="horz"/>
              <a:lstStyle/>
              <a:p>
                <a:pPr>
                  <a:defRPr>
                    <a:solidFill>
                      <a:schemeClr val="bg1"/>
                    </a:solidFill>
                  </a:defRPr>
                </a:pPr>
                <a:endParaRPr lang="de-DE"/>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'Vereinfachtes Verfahren'!$G$17</c:f>
              <c:strCache>
                <c:ptCount val="1"/>
                <c:pt idx="0">
                  <c:v>PEB</c:v>
                </c:pt>
              </c:strCache>
            </c:strRef>
          </c:cat>
          <c:val>
            <c:numRef>
              <c:f>'Vereinfachtes Verfahren'!$F$17</c:f>
              <c:numCache>
                <c:formatCode>#,##0.##0\ "kWh/m²a"</c:formatCode>
                <c:ptCount val="1"/>
                <c:pt idx="0">
                  <c:v>0</c:v>
                </c:pt>
              </c:numCache>
            </c:numRef>
          </c:val>
          <c:extLst xmlns:c16r2="http://schemas.microsoft.com/office/drawing/2015/06/chart">
            <c:ext xmlns:c16="http://schemas.microsoft.com/office/drawing/2014/chart" uri="{C3380CC4-5D6E-409C-BE32-E72D297353CC}">
              <c16:uniqueId val="{00000003-92ED-4C33-BBBC-83C802586AC1}"/>
            </c:ext>
          </c:extLst>
        </c:ser>
        <c:dLbls>
          <c:showLegendKey val="0"/>
          <c:showVal val="0"/>
          <c:showCatName val="0"/>
          <c:showSerName val="0"/>
          <c:showPercent val="0"/>
          <c:showBubbleSize val="0"/>
        </c:dLbls>
        <c:gapWidth val="150"/>
        <c:axId val="168229888"/>
        <c:axId val="167953152"/>
      </c:barChart>
      <c:catAx>
        <c:axId val="168229888"/>
        <c:scaling>
          <c:orientation val="minMax"/>
        </c:scaling>
        <c:delete val="0"/>
        <c:axPos val="b"/>
        <c:numFmt formatCode="General" sourceLinked="0"/>
        <c:majorTickMark val="out"/>
        <c:minorTickMark val="none"/>
        <c:tickLblPos val="nextTo"/>
        <c:crossAx val="167953152"/>
        <c:crosses val="autoZero"/>
        <c:auto val="1"/>
        <c:lblAlgn val="ctr"/>
        <c:lblOffset val="100"/>
        <c:noMultiLvlLbl val="0"/>
      </c:catAx>
      <c:valAx>
        <c:axId val="167953152"/>
        <c:scaling>
          <c:orientation val="minMax"/>
          <c:min val="0"/>
        </c:scaling>
        <c:delete val="0"/>
        <c:axPos val="l"/>
        <c:majorGridlines>
          <c:spPr>
            <a:ln>
              <a:solidFill>
                <a:schemeClr val="bg1">
                  <a:lumMod val="75000"/>
                </a:schemeClr>
              </a:solidFill>
            </a:ln>
          </c:spPr>
        </c:majorGridlines>
        <c:numFmt formatCode="0.0\ &quot;kWh/m²a&quot;" sourceLinked="0"/>
        <c:majorTickMark val="out"/>
        <c:minorTickMark val="in"/>
        <c:tickLblPos val="nextTo"/>
        <c:spPr>
          <a:noFill/>
          <a:ln>
            <a:solidFill>
              <a:schemeClr val="bg1">
                <a:lumMod val="75000"/>
              </a:schemeClr>
            </a:solidFill>
          </a:ln>
        </c:spPr>
        <c:crossAx val="168229888"/>
        <c:crosses val="autoZero"/>
        <c:crossBetween val="between"/>
        <c:majorUnit val="50"/>
        <c:minorUnit val="10"/>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423507147443477"/>
          <c:y val="0.14980155155882274"/>
          <c:w val="0.51880729501087064"/>
          <c:h val="0.73421855478397302"/>
        </c:manualLayout>
      </c:layout>
      <c:barChart>
        <c:barDir val="col"/>
        <c:grouping val="clustered"/>
        <c:varyColors val="0"/>
        <c:ser>
          <c:idx val="0"/>
          <c:order val="0"/>
          <c:tx>
            <c:strRef>
              <c:f>'Vereinfachtes Verfahren'!$E$16</c:f>
              <c:strCache>
                <c:ptCount val="1"/>
              </c:strCache>
            </c:strRef>
          </c:tx>
          <c:spPr>
            <a:solidFill>
              <a:srgbClr val="C00000"/>
            </a:solidFill>
          </c:spPr>
          <c:invertIfNegative val="0"/>
          <c:dLbls>
            <c:spPr>
              <a:noFill/>
            </c:spPr>
            <c:txPr>
              <a:bodyPr rot="-5400000" vert="horz"/>
              <a:lstStyle/>
              <a:p>
                <a:pPr>
                  <a:defRPr>
                    <a:solidFill>
                      <a:schemeClr val="bg1"/>
                    </a:solidFill>
                  </a:defRPr>
                </a:pPr>
                <a:endParaRPr lang="de-DE"/>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'Vereinfachtes Verfahren'!$G$18</c:f>
              <c:strCache>
                <c:ptCount val="1"/>
                <c:pt idx="0">
                  <c:v>CO2</c:v>
                </c:pt>
              </c:strCache>
            </c:strRef>
          </c:cat>
          <c:val>
            <c:numRef>
              <c:f>'Vereinfachtes Verfahren'!$E$18</c:f>
              <c:numCache>
                <c:formatCode>0.0\ "kg/m²a"</c:formatCode>
                <c:ptCount val="1"/>
                <c:pt idx="0">
                  <c:v>0</c:v>
                </c:pt>
              </c:numCache>
            </c:numRef>
          </c:val>
          <c:extLst xmlns:c16r2="http://schemas.microsoft.com/office/drawing/2015/06/chart">
            <c:ext xmlns:c16="http://schemas.microsoft.com/office/drawing/2014/chart" uri="{C3380CC4-5D6E-409C-BE32-E72D297353CC}">
              <c16:uniqueId val="{00000000-EC6C-4220-A382-D9B3C358BCF1}"/>
            </c:ext>
          </c:extLst>
        </c:ser>
        <c:ser>
          <c:idx val="1"/>
          <c:order val="1"/>
          <c:tx>
            <c:strRef>
              <c:f>'Vereinfachtes Verfahren'!$F$16</c:f>
              <c:strCache>
                <c:ptCount val="1"/>
              </c:strCache>
            </c:strRef>
          </c:tx>
          <c:spPr>
            <a:solidFill>
              <a:srgbClr val="FC9804"/>
            </a:solidFill>
          </c:spPr>
          <c:invertIfNegative val="0"/>
          <c:dLbls>
            <c:spPr>
              <a:noFill/>
              <a:ln>
                <a:noFill/>
              </a:ln>
              <a:effectLst/>
            </c:spPr>
            <c:txPr>
              <a:bodyPr rot="-5400000" vert="horz"/>
              <a:lstStyle/>
              <a:p>
                <a:pPr>
                  <a:defRPr>
                    <a:solidFill>
                      <a:schemeClr val="bg1"/>
                    </a:solidFill>
                  </a:defRPr>
                </a:pPr>
                <a:endParaRPr lang="de-DE"/>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'Vereinfachtes Verfahren'!$G$18</c:f>
              <c:strCache>
                <c:ptCount val="1"/>
                <c:pt idx="0">
                  <c:v>CO2</c:v>
                </c:pt>
              </c:strCache>
            </c:strRef>
          </c:cat>
          <c:val>
            <c:numRef>
              <c:f>'Vereinfachtes Verfahren'!$F$18</c:f>
              <c:numCache>
                <c:formatCode>#,##0.##0\ "kg/m²a"</c:formatCode>
                <c:ptCount val="1"/>
                <c:pt idx="0">
                  <c:v>0</c:v>
                </c:pt>
              </c:numCache>
            </c:numRef>
          </c:val>
          <c:extLst xmlns:c16r2="http://schemas.microsoft.com/office/drawing/2015/06/chart">
            <c:ext xmlns:c16="http://schemas.microsoft.com/office/drawing/2014/chart" uri="{C3380CC4-5D6E-409C-BE32-E72D297353CC}">
              <c16:uniqueId val="{00000001-EC6C-4220-A382-D9B3C358BCF1}"/>
            </c:ext>
          </c:extLst>
        </c:ser>
        <c:dLbls>
          <c:showLegendKey val="0"/>
          <c:showVal val="0"/>
          <c:showCatName val="0"/>
          <c:showSerName val="0"/>
          <c:showPercent val="0"/>
          <c:showBubbleSize val="0"/>
        </c:dLbls>
        <c:gapWidth val="150"/>
        <c:axId val="168100224"/>
        <c:axId val="168101760"/>
      </c:barChart>
      <c:catAx>
        <c:axId val="168100224"/>
        <c:scaling>
          <c:orientation val="minMax"/>
        </c:scaling>
        <c:delete val="0"/>
        <c:axPos val="b"/>
        <c:numFmt formatCode="General" sourceLinked="0"/>
        <c:majorTickMark val="out"/>
        <c:minorTickMark val="none"/>
        <c:tickLblPos val="nextTo"/>
        <c:crossAx val="168101760"/>
        <c:crosses val="autoZero"/>
        <c:auto val="1"/>
        <c:lblAlgn val="ctr"/>
        <c:lblOffset val="100"/>
        <c:noMultiLvlLbl val="0"/>
      </c:catAx>
      <c:valAx>
        <c:axId val="168101760"/>
        <c:scaling>
          <c:orientation val="minMax"/>
          <c:min val="0"/>
        </c:scaling>
        <c:delete val="0"/>
        <c:axPos val="l"/>
        <c:majorGridlines>
          <c:spPr>
            <a:ln>
              <a:solidFill>
                <a:schemeClr val="bg1">
                  <a:lumMod val="75000"/>
                </a:schemeClr>
              </a:solidFill>
            </a:ln>
          </c:spPr>
        </c:majorGridlines>
        <c:numFmt formatCode="0.0\ &quot;kg/m²a&quot;" sourceLinked="1"/>
        <c:majorTickMark val="out"/>
        <c:minorTickMark val="in"/>
        <c:tickLblPos val="nextTo"/>
        <c:spPr>
          <a:noFill/>
          <a:ln>
            <a:solidFill>
              <a:schemeClr val="bg1">
                <a:lumMod val="75000"/>
              </a:schemeClr>
            </a:solidFill>
          </a:ln>
        </c:spPr>
        <c:crossAx val="168100224"/>
        <c:crosses val="autoZero"/>
        <c:crossBetween val="between"/>
        <c:majorUnit val="5"/>
        <c:minorUnit val="1"/>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61504811898511"/>
          <c:y val="0.14980155155882274"/>
          <c:w val="0.53893278557571556"/>
          <c:h val="0.73421855478397302"/>
        </c:manualLayout>
      </c:layout>
      <c:barChart>
        <c:barDir val="col"/>
        <c:grouping val="clustered"/>
        <c:varyColors val="0"/>
        <c:ser>
          <c:idx val="0"/>
          <c:order val="0"/>
          <c:tx>
            <c:strRef>
              <c:f>'Vereinfachtes Verfahren'!$E$16</c:f>
              <c:strCache>
                <c:ptCount val="1"/>
              </c:strCache>
            </c:strRef>
          </c:tx>
          <c:spPr>
            <a:solidFill>
              <a:srgbClr val="C00000"/>
            </a:solidFill>
          </c:spPr>
          <c:invertIfNegative val="0"/>
          <c:dLbls>
            <c:spPr>
              <a:noFill/>
              <a:ln>
                <a:noFill/>
              </a:ln>
              <a:effectLst/>
            </c:spPr>
            <c:txPr>
              <a:bodyPr rot="-5400000" vert="horz"/>
              <a:lstStyle/>
              <a:p>
                <a:pPr>
                  <a:defRPr>
                    <a:solidFill>
                      <a:schemeClr val="bg1"/>
                    </a:solidFill>
                  </a:defRPr>
                </a:pPr>
                <a:endParaRPr lang="de-DE"/>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'Vereinfachtes Verfahren'!$A$19</c:f>
              <c:numCache>
                <c:formatCode>0.0</c:formatCode>
                <c:ptCount val="1"/>
                <c:pt idx="0">
                  <c:v>0</c:v>
                </c:pt>
              </c:numCache>
            </c:numRef>
          </c:val>
          <c:extLst xmlns:c16r2="http://schemas.microsoft.com/office/drawing/2015/06/chart">
            <c:ext xmlns:c15="http://schemas.microsoft.com/office/drawing/2012/chart" uri="{02D57815-91ED-43cb-92C2-25804820EDAC}">
              <c15:filteredCategoryTitle>
                <c15:cat>
                  <c:strRef>
                    <c:extLst>
                      <c:ext uri="{02D57815-91ED-43cb-92C2-25804820EDAC}">
                        <c15:formulaRef>
                          <c15:sqref>'Vereinfachtes Verfahren'!$G$19</c15:sqref>
                        </c15:formulaRef>
                      </c:ext>
                    </c:extLst>
                    <c:strCache>
                      <c:ptCount val="1"/>
                      <c:pt idx="0">
                        <c:v>fGEE</c:v>
                      </c:pt>
                    </c:strCache>
                  </c:strRef>
                </c15:cat>
              </c15:filteredCategoryTitle>
            </c:ext>
            <c:ext xmlns:c16="http://schemas.microsoft.com/office/drawing/2014/chart" uri="{C3380CC4-5D6E-409C-BE32-E72D297353CC}">
              <c16:uniqueId val="{00000000-5C4F-4486-9442-77A6BCF5B219}"/>
            </c:ext>
          </c:extLst>
        </c:ser>
        <c:ser>
          <c:idx val="1"/>
          <c:order val="1"/>
          <c:tx>
            <c:strRef>
              <c:f>'Vereinfachtes Verfahren'!$F$16</c:f>
              <c:strCache>
                <c:ptCount val="1"/>
              </c:strCache>
            </c:strRef>
          </c:tx>
          <c:spPr>
            <a:solidFill>
              <a:srgbClr val="FC9804"/>
            </a:solidFill>
          </c:spPr>
          <c:invertIfNegative val="0"/>
          <c:dLbls>
            <c:spPr>
              <a:noFill/>
              <a:ln>
                <a:noFill/>
              </a:ln>
              <a:effectLst/>
            </c:spPr>
            <c:txPr>
              <a:bodyPr rot="-5400000" vert="horz"/>
              <a:lstStyle/>
              <a:p>
                <a:pPr>
                  <a:defRPr>
                    <a:solidFill>
                      <a:schemeClr val="bg1"/>
                    </a:solidFill>
                  </a:defRPr>
                </a:pPr>
                <a:endParaRPr lang="de-DE"/>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'Vereinfachtes Verfahren'!$B$19</c:f>
              <c:numCache>
                <c:formatCode>0.0</c:formatCode>
                <c:ptCount val="1"/>
                <c:pt idx="0">
                  <c:v>0</c:v>
                </c:pt>
              </c:numCache>
            </c:numRef>
          </c:val>
          <c:extLst xmlns:c16r2="http://schemas.microsoft.com/office/drawing/2015/06/chart">
            <c:ext xmlns:c15="http://schemas.microsoft.com/office/drawing/2012/chart" uri="{02D57815-91ED-43cb-92C2-25804820EDAC}">
              <c15:filteredCategoryTitle>
                <c15:cat>
                  <c:strRef>
                    <c:extLst>
                      <c:ext uri="{02D57815-91ED-43cb-92C2-25804820EDAC}">
                        <c15:formulaRef>
                          <c15:sqref>'Vereinfachtes Verfahren'!$G$19</c15:sqref>
                        </c15:formulaRef>
                      </c:ext>
                    </c:extLst>
                    <c:strCache>
                      <c:ptCount val="1"/>
                      <c:pt idx="0">
                        <c:v>fGEE</c:v>
                      </c:pt>
                    </c:strCache>
                  </c:strRef>
                </c15:cat>
              </c15:filteredCategoryTitle>
            </c:ext>
            <c:ext xmlns:c16="http://schemas.microsoft.com/office/drawing/2014/chart" uri="{C3380CC4-5D6E-409C-BE32-E72D297353CC}">
              <c16:uniqueId val="{00000001-5C4F-4486-9442-77A6BCF5B219}"/>
            </c:ext>
          </c:extLst>
        </c:ser>
        <c:dLbls>
          <c:showLegendKey val="0"/>
          <c:showVal val="0"/>
          <c:showCatName val="0"/>
          <c:showSerName val="0"/>
          <c:showPercent val="0"/>
          <c:showBubbleSize val="0"/>
        </c:dLbls>
        <c:gapWidth val="150"/>
        <c:axId val="168148352"/>
        <c:axId val="168154240"/>
      </c:barChart>
      <c:catAx>
        <c:axId val="168148352"/>
        <c:scaling>
          <c:orientation val="minMax"/>
        </c:scaling>
        <c:delete val="0"/>
        <c:axPos val="b"/>
        <c:numFmt formatCode="General" sourceLinked="1"/>
        <c:majorTickMark val="out"/>
        <c:minorTickMark val="none"/>
        <c:tickLblPos val="nextTo"/>
        <c:crossAx val="168154240"/>
        <c:crosses val="autoZero"/>
        <c:auto val="1"/>
        <c:lblAlgn val="ctr"/>
        <c:lblOffset val="100"/>
        <c:noMultiLvlLbl val="0"/>
      </c:catAx>
      <c:valAx>
        <c:axId val="168154240"/>
        <c:scaling>
          <c:orientation val="minMax"/>
          <c:min val="0"/>
        </c:scaling>
        <c:delete val="0"/>
        <c:axPos val="l"/>
        <c:majorGridlines>
          <c:spPr>
            <a:ln>
              <a:solidFill>
                <a:schemeClr val="bg1">
                  <a:lumMod val="75000"/>
                </a:schemeClr>
              </a:solidFill>
            </a:ln>
          </c:spPr>
        </c:majorGridlines>
        <c:numFmt formatCode="0.0" sourceLinked="1"/>
        <c:majorTickMark val="out"/>
        <c:minorTickMark val="in"/>
        <c:tickLblPos val="nextTo"/>
        <c:spPr>
          <a:noFill/>
          <a:ln>
            <a:solidFill>
              <a:schemeClr val="bg1">
                <a:lumMod val="75000"/>
              </a:schemeClr>
            </a:solidFill>
          </a:ln>
        </c:spPr>
        <c:crossAx val="168148352"/>
        <c:crosses val="autoZero"/>
        <c:crossBetween val="between"/>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61727511333815E-2"/>
          <c:y val="0.21582184945070268"/>
          <c:w val="0.78532668149305762"/>
          <c:h val="0.69138002717421931"/>
        </c:manualLayout>
      </c:layout>
      <c:scatterChart>
        <c:scatterStyle val="lineMarker"/>
        <c:varyColors val="0"/>
        <c:ser>
          <c:idx val="1"/>
          <c:order val="0"/>
          <c:tx>
            <c:strRef>
              <c:f>Wirtschaftlichkeitsberechnung!$AR$74</c:f>
              <c:strCache>
                <c:ptCount val="1"/>
              </c:strCache>
            </c:strRef>
          </c:tx>
          <c:spPr>
            <a:ln>
              <a:solidFill>
                <a:srgbClr val="D60093"/>
              </a:solidFill>
            </a:ln>
          </c:spPr>
          <c:marker>
            <c:symbol val="none"/>
          </c:marker>
          <c:dLbls>
            <c:dLbl>
              <c:idx val="20"/>
              <c:layout>
                <c:manualLayout>
                  <c:x val="-6.4461407972858348E-2"/>
                  <c:y val="-2.17390534238453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B11-4CDC-BF5E-0F691779CC42}"/>
                </c:ext>
              </c:extLst>
            </c:dLbl>
            <c:dLbl>
              <c:idx val="50"/>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B11-4CDC-BF5E-0F691779CC42}"/>
                </c:ext>
              </c:extLst>
            </c:dLbl>
            <c:numFmt formatCode="&quot;€&quot;\ #,##0" sourceLinked="0"/>
            <c:spPr>
              <a:noFill/>
              <a:ln>
                <a:noFill/>
              </a:ln>
              <a:effectLst/>
            </c:spPr>
            <c:txPr>
              <a:bodyPr/>
              <a:lstStyle/>
              <a:p>
                <a:pPr>
                  <a:defRPr sz="900" b="1">
                    <a:latin typeface="Arial" pitchFamily="34" charset="0"/>
                    <a:cs typeface="Arial" pitchFamily="34" charset="0"/>
                  </a:defRPr>
                </a:pPr>
                <a:endParaRPr lang="de-DE"/>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Wirtschaftlichkeitsberechnung!$AQ$75:$AQ$95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Wirtschaftlichkeitsberechnung!$AR$75:$AR$95</c:f>
              <c:numCache>
                <c:formatCode>"€"\ #,##0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xmlns:c16r2="http://schemas.microsoft.com/office/drawing/2015/06/chart">
            <c:ext xmlns:c16="http://schemas.microsoft.com/office/drawing/2014/chart" uri="{C3380CC4-5D6E-409C-BE32-E72D297353CC}">
              <c16:uniqueId val="{00000002-3A0E-44EE-BD68-F9549827660A}"/>
            </c:ext>
          </c:extLst>
        </c:ser>
        <c:ser>
          <c:idx val="2"/>
          <c:order val="1"/>
          <c:tx>
            <c:strRef>
              <c:f>Wirtschaftlichkeitsberechnung!$AS$74</c:f>
              <c:strCache>
                <c:ptCount val="1"/>
              </c:strCache>
            </c:strRef>
          </c:tx>
          <c:spPr>
            <a:ln>
              <a:solidFill>
                <a:srgbClr val="33CCCC"/>
              </a:solidFill>
            </a:ln>
          </c:spPr>
          <c:marker>
            <c:symbol val="none"/>
          </c:marker>
          <c:dLbls>
            <c:dLbl>
              <c:idx val="20"/>
              <c:layout>
                <c:manualLayout>
                  <c:x val="-5.4283290924512298E-2"/>
                  <c:y val="-1.811603887607325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B11-4CDC-BF5E-0F691779CC42}"/>
                </c:ext>
              </c:extLst>
            </c:dLbl>
            <c:dLbl>
              <c:idx val="50"/>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B11-4CDC-BF5E-0F691779CC42}"/>
                </c:ext>
              </c:extLst>
            </c:dLbl>
            <c:numFmt formatCode="&quot;€&quot;\ #,##0" sourceLinked="0"/>
            <c:spPr>
              <a:noFill/>
              <a:ln>
                <a:noFill/>
              </a:ln>
              <a:effectLst/>
            </c:spPr>
            <c:txPr>
              <a:bodyPr/>
              <a:lstStyle/>
              <a:p>
                <a:pPr>
                  <a:defRPr sz="900" b="1">
                    <a:latin typeface="Arial" pitchFamily="34" charset="0"/>
                    <a:cs typeface="Arial" pitchFamily="34" charset="0"/>
                  </a:defRPr>
                </a:pPr>
                <a:endParaRPr lang="de-DE"/>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Wirtschaftlichkeitsberechnung!$AQ$75:$AQ$95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Wirtschaftlichkeitsberechnung!$AS$75:$AS$95</c:f>
              <c:numCache>
                <c:formatCode>"€"\ #,##0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xmlns:c16r2="http://schemas.microsoft.com/office/drawing/2015/06/chart">
            <c:ext xmlns:c16="http://schemas.microsoft.com/office/drawing/2014/chart" uri="{C3380CC4-5D6E-409C-BE32-E72D297353CC}">
              <c16:uniqueId val="{00000005-3A0E-44EE-BD68-F9549827660A}"/>
            </c:ext>
          </c:extLst>
        </c:ser>
        <c:ser>
          <c:idx val="3"/>
          <c:order val="2"/>
          <c:tx>
            <c:strRef>
              <c:f>Wirtschaftlichkeitsberechnung!$AT$74</c:f>
              <c:strCache>
                <c:ptCount val="1"/>
                <c:pt idx="0">
                  <c:v>Kein System gewählt</c:v>
                </c:pt>
              </c:strCache>
            </c:strRef>
          </c:tx>
          <c:spPr>
            <a:ln>
              <a:solidFill>
                <a:srgbClr val="FFCD2D"/>
              </a:solidFill>
            </a:ln>
          </c:spPr>
          <c:marker>
            <c:symbol val="none"/>
          </c:marker>
          <c:dLbls>
            <c:dLbl>
              <c:idx val="20"/>
              <c:layout>
                <c:manualLayout>
                  <c:x val="-7.124681933842239E-2"/>
                  <c:y val="-2.689726000266009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B11-4CDC-BF5E-0F691779CC42}"/>
                </c:ext>
              </c:extLst>
            </c:dLbl>
            <c:dLbl>
              <c:idx val="50"/>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B11-4CDC-BF5E-0F691779CC42}"/>
                </c:ext>
              </c:extLst>
            </c:dLbl>
            <c:numFmt formatCode="&quot;€&quot;\ #,##0" sourceLinked="0"/>
            <c:spPr>
              <a:noFill/>
              <a:ln>
                <a:noFill/>
              </a:ln>
              <a:effectLst/>
            </c:spPr>
            <c:txPr>
              <a:bodyPr/>
              <a:lstStyle/>
              <a:p>
                <a:pPr>
                  <a:defRPr sz="900" b="1">
                    <a:latin typeface="Arial" pitchFamily="34" charset="0"/>
                    <a:cs typeface="Arial" pitchFamily="34" charset="0"/>
                  </a:defRPr>
                </a:pPr>
                <a:endParaRPr lang="de-DE"/>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Wirtschaftlichkeitsberechnung!$AQ$75:$AQ$95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Wirtschaftlichkeitsberechnung!$AT$75:$AT$95</c:f>
              <c:numCache>
                <c:formatCode>"€"\ #,##0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xmlns:c16r2="http://schemas.microsoft.com/office/drawing/2015/06/chart">
            <c:ext xmlns:c16="http://schemas.microsoft.com/office/drawing/2014/chart" uri="{C3380CC4-5D6E-409C-BE32-E72D297353CC}">
              <c16:uniqueId val="{00000008-3A0E-44EE-BD68-F9549827660A}"/>
            </c:ext>
          </c:extLst>
        </c:ser>
        <c:dLbls>
          <c:showLegendKey val="0"/>
          <c:showVal val="0"/>
          <c:showCatName val="0"/>
          <c:showSerName val="0"/>
          <c:showPercent val="0"/>
          <c:showBubbleSize val="0"/>
        </c:dLbls>
        <c:axId val="175002368"/>
        <c:axId val="175003904"/>
        <c:extLst xmlns:c16r2="http://schemas.microsoft.com/office/drawing/2015/06/chart">
          <c:ext xmlns:c15="http://schemas.microsoft.com/office/drawing/2012/chart" uri="{02D57815-91ED-43cb-92C2-25804820EDAC}">
            <c15:filteredScatterSeries>
              <c15:ser>
                <c:idx val="0"/>
                <c:order val="3"/>
                <c:tx>
                  <c:strRef>
                    <c:extLst>
                      <c:ext uri="{02D57815-91ED-43cb-92C2-25804820EDAC}">
                        <c15:formulaRef>
                          <c15:sqref>Wirtschaftlichkeitsberechnung!$AU$74</c15:sqref>
                        </c15:formulaRef>
                      </c:ext>
                    </c:extLst>
                    <c:strCache>
                      <c:ptCount val="1"/>
                    </c:strCache>
                  </c:strRef>
                </c:tx>
                <c:spPr>
                  <a:ln>
                    <a:solidFill>
                      <a:srgbClr val="F2A0E6"/>
                    </a:solidFill>
                  </a:ln>
                </c:spPr>
                <c:marker>
                  <c:symbol val="none"/>
                </c:marker>
                <c:xVal>
                  <c:numRef>
                    <c:extLst>
                      <c:ext uri="{02D57815-91ED-43cb-92C2-25804820EDAC}">
                        <c15:formulaRef>
                          <c15:sqref>Wirtschaftlichkeitsberechnung!$AQ$75:$AQ$95</c15:sqref>
                        </c15:formulaRef>
                      </c:ext>
                    </c:extLst>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extLst>
                      <c:ext uri="{02D57815-91ED-43cb-92C2-25804820EDAC}">
                        <c15:formulaRef>
                          <c15:sqref>Wirtschaftlichkeitsberechnung!$AU$75:$AU$95</c15:sqref>
                        </c15:formulaRef>
                      </c:ext>
                    </c:extLst>
                    <c:numCache>
                      <c:formatCode>#,##0\ "kg"</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c:ext xmlns:c16="http://schemas.microsoft.com/office/drawing/2014/chart" uri="{C3380CC4-5D6E-409C-BE32-E72D297353CC}">
                    <c16:uniqueId val="{00000006-8B11-4CDC-BF5E-0F691779CC42}"/>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Wirtschaftlichkeitsberechnung!$AV$74</c15:sqref>
                        </c15:formulaRef>
                      </c:ext>
                    </c:extLst>
                    <c:strCache>
                      <c:ptCount val="1"/>
                    </c:strCache>
                  </c:strRef>
                </c:tx>
                <c:spPr>
                  <a:ln>
                    <a:solidFill>
                      <a:srgbClr val="95F7F9"/>
                    </a:solidFill>
                  </a:ln>
                </c:spPr>
                <c:marker>
                  <c:symbol val="none"/>
                </c:marker>
                <c:xVal>
                  <c:numRef>
                    <c:extLst xmlns:c15="http://schemas.microsoft.com/office/drawing/2012/chart">
                      <c:ext xmlns:c15="http://schemas.microsoft.com/office/drawing/2012/chart" uri="{02D57815-91ED-43cb-92C2-25804820EDAC}">
                        <c15:formulaRef>
                          <c15:sqref>Wirtschaftlichkeitsberechnung!$AQ$75:$AQ$95</c15:sqref>
                        </c15:formulaRef>
                      </c:ext>
                    </c:extLst>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extLst xmlns:c15="http://schemas.microsoft.com/office/drawing/2012/chart">
                      <c:ext xmlns:c15="http://schemas.microsoft.com/office/drawing/2012/chart" uri="{02D57815-91ED-43cb-92C2-25804820EDAC}">
                        <c15:formulaRef>
                          <c15:sqref>Wirtschaftlichkeitsberechnung!$AV$75:$AV$95</c15:sqref>
                        </c15:formulaRef>
                      </c:ext>
                    </c:extLst>
                    <c:numCache>
                      <c:formatCode>#,##0\ "kg"</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xmlns:c15="http://schemas.microsoft.com/office/drawing/2012/chart">
                  <c:ext xmlns:c16="http://schemas.microsoft.com/office/drawing/2014/chart" uri="{C3380CC4-5D6E-409C-BE32-E72D297353CC}">
                    <c16:uniqueId val="{00000007-8B11-4CDC-BF5E-0F691779CC42}"/>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Wirtschaftlichkeitsberechnung!$AW$74</c15:sqref>
                        </c15:formulaRef>
                      </c:ext>
                    </c:extLst>
                    <c:strCache>
                      <c:ptCount val="1"/>
                    </c:strCache>
                  </c:strRef>
                </c:tx>
                <c:spPr>
                  <a:ln>
                    <a:solidFill>
                      <a:srgbClr val="FFE781"/>
                    </a:solidFill>
                  </a:ln>
                </c:spPr>
                <c:marker>
                  <c:symbol val="none"/>
                </c:marker>
                <c:xVal>
                  <c:numRef>
                    <c:extLst xmlns:c15="http://schemas.microsoft.com/office/drawing/2012/chart">
                      <c:ext xmlns:c15="http://schemas.microsoft.com/office/drawing/2012/chart" uri="{02D57815-91ED-43cb-92C2-25804820EDAC}">
                        <c15:formulaRef>
                          <c15:sqref>Wirtschaftlichkeitsberechnung!$AQ$75:$AQ$95</c15:sqref>
                        </c15:formulaRef>
                      </c:ext>
                    </c:extLst>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extLst xmlns:c15="http://schemas.microsoft.com/office/drawing/2012/chart">
                      <c:ext xmlns:c15="http://schemas.microsoft.com/office/drawing/2012/chart" uri="{02D57815-91ED-43cb-92C2-25804820EDAC}">
                        <c15:formulaRef>
                          <c15:sqref>Wirtschaftlichkeitsberechnung!$AW$75:$AW$95</c15:sqref>
                        </c15:formulaRef>
                      </c:ext>
                    </c:extLst>
                    <c:numCache>
                      <c:formatCode>#,##0\ "kg"</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xmlns:c15="http://schemas.microsoft.com/office/drawing/2012/chart">
                  <c:ext xmlns:c16="http://schemas.microsoft.com/office/drawing/2014/chart" uri="{C3380CC4-5D6E-409C-BE32-E72D297353CC}">
                    <c16:uniqueId val="{00000008-8B11-4CDC-BF5E-0F691779CC42}"/>
                  </c:ext>
                </c:extLst>
              </c15:ser>
            </c15:filteredScatterSeries>
          </c:ext>
        </c:extLst>
      </c:scatterChart>
      <c:valAx>
        <c:axId val="175002368"/>
        <c:scaling>
          <c:orientation val="minMax"/>
          <c:max val="20"/>
        </c:scaling>
        <c:delete val="0"/>
        <c:axPos val="b"/>
        <c:numFmt formatCode="General" sourceLinked="1"/>
        <c:majorTickMark val="out"/>
        <c:minorTickMark val="none"/>
        <c:tickLblPos val="nextTo"/>
        <c:txPr>
          <a:bodyPr/>
          <a:lstStyle/>
          <a:p>
            <a:pPr>
              <a:defRPr sz="900">
                <a:solidFill>
                  <a:schemeClr val="tx1">
                    <a:lumMod val="50000"/>
                    <a:lumOff val="50000"/>
                  </a:schemeClr>
                </a:solidFill>
                <a:latin typeface="Arial" pitchFamily="34" charset="0"/>
                <a:cs typeface="Arial" pitchFamily="34" charset="0"/>
              </a:defRPr>
            </a:pPr>
            <a:endParaRPr lang="de-DE"/>
          </a:p>
        </c:txPr>
        <c:crossAx val="175003904"/>
        <c:crosses val="autoZero"/>
        <c:crossBetween val="midCat"/>
        <c:majorUnit val="5"/>
      </c:valAx>
      <c:valAx>
        <c:axId val="175003904"/>
        <c:scaling>
          <c:orientation val="minMax"/>
        </c:scaling>
        <c:delete val="0"/>
        <c:axPos val="l"/>
        <c:majorGridlines/>
        <c:numFmt formatCode="&quot;€&quot;\ #,##0" sourceLinked="1"/>
        <c:majorTickMark val="out"/>
        <c:minorTickMark val="none"/>
        <c:tickLblPos val="nextTo"/>
        <c:txPr>
          <a:bodyPr/>
          <a:lstStyle/>
          <a:p>
            <a:pPr>
              <a:defRPr sz="900">
                <a:solidFill>
                  <a:schemeClr val="tx1">
                    <a:lumMod val="50000"/>
                    <a:lumOff val="50000"/>
                  </a:schemeClr>
                </a:solidFill>
                <a:latin typeface="Arial" pitchFamily="34" charset="0"/>
                <a:cs typeface="Arial" pitchFamily="34" charset="0"/>
              </a:defRPr>
            </a:pPr>
            <a:endParaRPr lang="de-DE"/>
          </a:p>
        </c:txPr>
        <c:crossAx val="175002368"/>
        <c:crosses val="autoZero"/>
        <c:crossBetween val="midCat"/>
      </c:valAx>
    </c:plotArea>
    <c:legend>
      <c:legendPos val="r"/>
      <c:layout>
        <c:manualLayout>
          <c:xMode val="edge"/>
          <c:yMode val="edge"/>
          <c:x val="0.14959374353015034"/>
          <c:y val="0.20069922570543314"/>
          <c:w val="0.48794186986168714"/>
          <c:h val="0.16238383407688325"/>
        </c:manualLayout>
      </c:layout>
      <c:overlay val="0"/>
      <c:spPr>
        <a:noFill/>
      </c:spPr>
      <c:txPr>
        <a:bodyPr/>
        <a:lstStyle/>
        <a:p>
          <a:pPr>
            <a:defRPr sz="900">
              <a:solidFill>
                <a:schemeClr val="tx1">
                  <a:lumMod val="50000"/>
                  <a:lumOff val="50000"/>
                </a:schemeClr>
              </a:solidFill>
              <a:latin typeface="Arial" pitchFamily="34" charset="0"/>
              <a:cs typeface="Arial" pitchFamily="34" charset="0"/>
            </a:defRPr>
          </a:pPr>
          <a:endParaRPr lang="de-DE"/>
        </a:p>
      </c:txPr>
    </c:legend>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30598513315332"/>
          <c:y val="0.16470317941559245"/>
          <c:w val="0.77310594969598645"/>
          <c:h val="0.75320202703193961"/>
        </c:manualLayout>
      </c:layout>
      <c:scatterChart>
        <c:scatterStyle val="lineMarker"/>
        <c:varyColors val="0"/>
        <c:ser>
          <c:idx val="0"/>
          <c:order val="0"/>
          <c:tx>
            <c:strRef>
              <c:f>Wirtschaftlichkeitsberechnung!$AU$74</c:f>
              <c:strCache>
                <c:ptCount val="1"/>
              </c:strCache>
            </c:strRef>
          </c:tx>
          <c:spPr>
            <a:ln>
              <a:solidFill>
                <a:srgbClr val="D60093"/>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9FE-413D-BA96-2E2389D817FC}"/>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9FE-413D-BA96-2E2389D817FC}"/>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9FE-413D-BA96-2E2389D817FC}"/>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9FE-413D-BA96-2E2389D817FC}"/>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9FE-413D-BA96-2E2389D817FC}"/>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9FE-413D-BA96-2E2389D817FC}"/>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9FE-413D-BA96-2E2389D817FC}"/>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9FE-413D-BA96-2E2389D817FC}"/>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9FE-413D-BA96-2E2389D817FC}"/>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9FE-413D-BA96-2E2389D817FC}"/>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9FE-413D-BA96-2E2389D817FC}"/>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9FE-413D-BA96-2E2389D817FC}"/>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9FE-413D-BA96-2E2389D817FC}"/>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9FE-413D-BA96-2E2389D817FC}"/>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9FE-413D-BA96-2E2389D817FC}"/>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9FE-413D-BA96-2E2389D817FC}"/>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9FE-413D-BA96-2E2389D817FC}"/>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9FE-413D-BA96-2E2389D817FC}"/>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9FE-413D-BA96-2E2389D817FC}"/>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9FE-413D-BA96-2E2389D817FC}"/>
                </c:ext>
              </c:extLst>
            </c:dLbl>
            <c:dLbl>
              <c:idx val="20"/>
              <c:layout>
                <c:manualLayout>
                  <c:x val="-3.9590340152204591E-2"/>
                  <c:y val="-2.5364073258155751E-2"/>
                </c:manualLayout>
              </c:layout>
              <c:spPr>
                <a:noFill/>
                <a:ln>
                  <a:noFill/>
                </a:ln>
                <a:effectLst/>
              </c:spPr>
              <c:txPr>
                <a:bodyPr wrap="square" lIns="38100" tIns="19050" rIns="38100" bIns="19050" anchor="ctr">
                  <a:spAutoFit/>
                </a:bodyPr>
                <a:lstStyle/>
                <a:p>
                  <a:pPr>
                    <a:defRPr sz="900" b="1">
                      <a:latin typeface="Arial" panose="020B0604020202020204" pitchFamily="34" charset="0"/>
                      <a:cs typeface="Arial" panose="020B0604020202020204" pitchFamily="34" charset="0"/>
                    </a:defRPr>
                  </a:pPr>
                  <a:endParaRPr lang="de-DE"/>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89FE-413D-BA96-2E2389D817FC}"/>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xVal>
            <c:numRef>
              <c:f>Wirtschaftlichkeitsberechnung!$AQ$75:$AQ$95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Wirtschaftlichkeitsberechnung!$AU$75:$AU$95</c:f>
              <c:numCache>
                <c:formatCode>#,##0\ "kg"</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xmlns:c16r2="http://schemas.microsoft.com/office/drawing/2015/06/chart">
            <c:ext xmlns:c16="http://schemas.microsoft.com/office/drawing/2014/chart" uri="{C3380CC4-5D6E-409C-BE32-E72D297353CC}">
              <c16:uniqueId val="{00000015-89FE-413D-BA96-2E2389D817FC}"/>
            </c:ext>
          </c:extLst>
        </c:ser>
        <c:ser>
          <c:idx val="4"/>
          <c:order val="1"/>
          <c:tx>
            <c:strRef>
              <c:f>Wirtschaftlichkeitsberechnung!$AV$74</c:f>
              <c:strCache>
                <c:ptCount val="1"/>
              </c:strCache>
            </c:strRef>
          </c:tx>
          <c:spPr>
            <a:ln>
              <a:solidFill>
                <a:srgbClr val="33CCCC"/>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89FE-413D-BA96-2E2389D817FC}"/>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89FE-413D-BA96-2E2389D817FC}"/>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89FE-413D-BA96-2E2389D817FC}"/>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89FE-413D-BA96-2E2389D817FC}"/>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89FE-413D-BA96-2E2389D817FC}"/>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89FE-413D-BA96-2E2389D817FC}"/>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89FE-413D-BA96-2E2389D817FC}"/>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89FE-413D-BA96-2E2389D817FC}"/>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89FE-413D-BA96-2E2389D817FC}"/>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89FE-413D-BA96-2E2389D817FC}"/>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89FE-413D-BA96-2E2389D817FC}"/>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89FE-413D-BA96-2E2389D817FC}"/>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89FE-413D-BA96-2E2389D817FC}"/>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89FE-413D-BA96-2E2389D817FC}"/>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89FE-413D-BA96-2E2389D817FC}"/>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89FE-413D-BA96-2E2389D817FC}"/>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89FE-413D-BA96-2E2389D817FC}"/>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89FE-413D-BA96-2E2389D817FC}"/>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89FE-413D-BA96-2E2389D817FC}"/>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89FE-413D-BA96-2E2389D817FC}"/>
                </c:ext>
              </c:extLst>
            </c:dLbl>
            <c:dLbl>
              <c:idx val="20"/>
              <c:layout>
                <c:manualLayout>
                  <c:x val="-4.6901172529313355E-2"/>
                  <c:y val="-4.1006536232832388E-2"/>
                </c:manualLayout>
              </c:layout>
              <c:spPr>
                <a:noFill/>
                <a:ln>
                  <a:noFill/>
                </a:ln>
                <a:effectLst/>
              </c:spPr>
              <c:txPr>
                <a:bodyPr wrap="square" lIns="38100" tIns="19050" rIns="38100" bIns="19050" anchor="ctr">
                  <a:spAutoFit/>
                </a:bodyPr>
                <a:lstStyle/>
                <a:p>
                  <a:pPr>
                    <a:defRPr sz="900" b="1">
                      <a:latin typeface="Arial" panose="020B0604020202020204" pitchFamily="34" charset="0"/>
                      <a:cs typeface="Arial" panose="020B0604020202020204" pitchFamily="34" charset="0"/>
                    </a:defRPr>
                  </a:pPr>
                  <a:endParaRPr lang="de-DE"/>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41-89FE-413D-BA96-2E2389D817FC}"/>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Wirtschaftlichkeitsberechnung!$AQ$75:$AQ$95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Wirtschaftlichkeitsberechnung!$AV$75:$AV$95</c:f>
              <c:numCache>
                <c:formatCode>#,##0\ "kg"</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xmlns:c16r2="http://schemas.microsoft.com/office/drawing/2015/06/chart">
            <c:ext xmlns:c16="http://schemas.microsoft.com/office/drawing/2014/chart" uri="{C3380CC4-5D6E-409C-BE32-E72D297353CC}">
              <c16:uniqueId val="{0000002A-89FE-413D-BA96-2E2389D817FC}"/>
            </c:ext>
          </c:extLst>
        </c:ser>
        <c:ser>
          <c:idx val="5"/>
          <c:order val="2"/>
          <c:tx>
            <c:strRef>
              <c:f>Wirtschaftlichkeitsberechnung!$AW$74</c:f>
              <c:strCache>
                <c:ptCount val="1"/>
              </c:strCache>
            </c:strRef>
          </c:tx>
          <c:spPr>
            <a:ln>
              <a:solidFill>
                <a:srgbClr val="F5CD2C"/>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89FE-413D-BA96-2E2389D817FC}"/>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89FE-413D-BA96-2E2389D817FC}"/>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89FE-413D-BA96-2E2389D817FC}"/>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89FE-413D-BA96-2E2389D817FC}"/>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89FE-413D-BA96-2E2389D817FC}"/>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89FE-413D-BA96-2E2389D817FC}"/>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89FE-413D-BA96-2E2389D817FC}"/>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2-89FE-413D-BA96-2E2389D817FC}"/>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3-89FE-413D-BA96-2E2389D817FC}"/>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89FE-413D-BA96-2E2389D817FC}"/>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89FE-413D-BA96-2E2389D817FC}"/>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6-89FE-413D-BA96-2E2389D817FC}"/>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7-89FE-413D-BA96-2E2389D817FC}"/>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8-89FE-413D-BA96-2E2389D817FC}"/>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9-89FE-413D-BA96-2E2389D817FC}"/>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A-89FE-413D-BA96-2E2389D817FC}"/>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B-89FE-413D-BA96-2E2389D817FC}"/>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C-89FE-413D-BA96-2E2389D817FC}"/>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D-89FE-413D-BA96-2E2389D817FC}"/>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E-89FE-413D-BA96-2E2389D817FC}"/>
                </c:ext>
              </c:extLst>
            </c:dLbl>
            <c:dLbl>
              <c:idx val="20"/>
              <c:layout>
                <c:manualLayout>
                  <c:x val="-4.0201005025125629E-2"/>
                  <c:y val="-3.0823972488203587E-2"/>
                </c:manualLayout>
              </c:layout>
              <c:spPr>
                <a:noFill/>
                <a:ln>
                  <a:noFill/>
                </a:ln>
                <a:effectLst/>
              </c:spPr>
              <c:txPr>
                <a:bodyPr wrap="square" lIns="38100" tIns="19050" rIns="38100" bIns="19050" anchor="ctr">
                  <a:spAutoFit/>
                </a:bodyPr>
                <a:lstStyle/>
                <a:p>
                  <a:pPr>
                    <a:defRPr sz="900" b="1">
                      <a:latin typeface="Arial" panose="020B0604020202020204" pitchFamily="34" charset="0"/>
                      <a:cs typeface="Arial" panose="020B0604020202020204" pitchFamily="34" charset="0"/>
                    </a:defRPr>
                  </a:pPr>
                  <a:endParaRPr lang="de-DE"/>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F-89FE-413D-BA96-2E2389D817FC}"/>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xVal>
            <c:numRef>
              <c:f>Wirtschaftlichkeitsberechnung!$AQ$75:$AQ$95</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Wirtschaftlichkeitsberechnung!$AW$75:$AW$95</c:f>
              <c:numCache>
                <c:formatCode>#,##0\ "kg"</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xmlns:c16r2="http://schemas.microsoft.com/office/drawing/2015/06/chart">
            <c:ext xmlns:c16="http://schemas.microsoft.com/office/drawing/2014/chart" uri="{C3380CC4-5D6E-409C-BE32-E72D297353CC}">
              <c16:uniqueId val="{00000040-89FE-413D-BA96-2E2389D817FC}"/>
            </c:ext>
          </c:extLst>
        </c:ser>
        <c:dLbls>
          <c:showLegendKey val="0"/>
          <c:showVal val="0"/>
          <c:showCatName val="0"/>
          <c:showSerName val="0"/>
          <c:showPercent val="0"/>
          <c:showBubbleSize val="0"/>
        </c:dLbls>
        <c:axId val="175197184"/>
        <c:axId val="179090176"/>
        <c:extLst xmlns:c16r2="http://schemas.microsoft.com/office/drawing/2015/06/chart">
          <c:ext xmlns:c15="http://schemas.microsoft.com/office/drawing/2012/chart" uri="{02D57815-91ED-43cb-92C2-25804820EDAC}">
            <c15:filteredScatterSeries>
              <c15:ser>
                <c:idx val="1"/>
                <c:order val="0"/>
                <c:tx>
                  <c:strRef>
                    <c:extLst>
                      <c:ext uri="{02D57815-91ED-43cb-92C2-25804820EDAC}">
                        <c15:formulaRef>
                          <c15:sqref>Wirtschaftlichkeitsberechnung!$AR$74</c15:sqref>
                        </c15:formulaRef>
                      </c:ext>
                    </c:extLst>
                    <c:strCache>
                      <c:ptCount val="1"/>
                    </c:strCache>
                  </c:strRef>
                </c:tx>
                <c:spPr>
                  <a:ln>
                    <a:solidFill>
                      <a:srgbClr val="D60093"/>
                    </a:solidFill>
                  </a:ln>
                </c:spPr>
                <c:marker>
                  <c:symbol val="none"/>
                </c:marker>
                <c:xVal>
                  <c:numRef>
                    <c:extLst>
                      <c:ext uri="{02D57815-91ED-43cb-92C2-25804820EDAC}">
                        <c15:formulaRef>
                          <c15:sqref>Wirtschaftlichkeitsberechnung!$AQ$75:$AQ$95</c15:sqref>
                        </c15:formulaRef>
                      </c:ext>
                    </c:extLst>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extLst>
                      <c:ext uri="{02D57815-91ED-43cb-92C2-25804820EDAC}">
                        <c15:formulaRef>
                          <c15:sqref>Wirtschaftlichkeitsberechnung!$AR$75:$AR$95</c15:sqref>
                        </c15:formulaRef>
                      </c:ext>
                    </c:extLst>
                    <c:numCache>
                      <c:formatCode>"€"\ #,##0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c:ext xmlns:c16="http://schemas.microsoft.com/office/drawing/2014/chart" uri="{C3380CC4-5D6E-409C-BE32-E72D297353CC}">
                    <c16:uniqueId val="{00000002-3A0E-44EE-BD68-F9549827660A}"/>
                  </c:ext>
                </c:extLst>
              </c15:ser>
            </c15:filteredScatterSeries>
            <c15:filteredScatterSeries>
              <c15:ser>
                <c:idx val="2"/>
                <c:order val="1"/>
                <c:tx>
                  <c:strRef>
                    <c:extLst xmlns:c15="http://schemas.microsoft.com/office/drawing/2012/chart">
                      <c:ext xmlns:c15="http://schemas.microsoft.com/office/drawing/2012/chart" uri="{02D57815-91ED-43cb-92C2-25804820EDAC}">
                        <c15:formulaRef>
                          <c15:sqref>Wirtschaftlichkeitsberechnung!$AS$74</c15:sqref>
                        </c15:formulaRef>
                      </c:ext>
                    </c:extLst>
                    <c:strCache>
                      <c:ptCount val="1"/>
                    </c:strCache>
                  </c:strRef>
                </c:tx>
                <c:spPr>
                  <a:ln>
                    <a:solidFill>
                      <a:srgbClr val="33CCCC"/>
                    </a:solidFill>
                  </a:ln>
                </c:spPr>
                <c:marker>
                  <c:symbol val="none"/>
                </c:marker>
                <c:xVal>
                  <c:numRef>
                    <c:extLst xmlns:c15="http://schemas.microsoft.com/office/drawing/2012/chart">
                      <c:ext xmlns:c15="http://schemas.microsoft.com/office/drawing/2012/chart" uri="{02D57815-91ED-43cb-92C2-25804820EDAC}">
                        <c15:formulaRef>
                          <c15:sqref>Wirtschaftlichkeitsberechnung!$AQ$75:$AQ$95</c15:sqref>
                        </c15:formulaRef>
                      </c:ext>
                    </c:extLst>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extLst xmlns:c15="http://schemas.microsoft.com/office/drawing/2012/chart">
                      <c:ext xmlns:c15="http://schemas.microsoft.com/office/drawing/2012/chart" uri="{02D57815-91ED-43cb-92C2-25804820EDAC}">
                        <c15:formulaRef>
                          <c15:sqref>Wirtschaftlichkeitsberechnung!$AS$75:$AS$95</c15:sqref>
                        </c15:formulaRef>
                      </c:ext>
                    </c:extLst>
                    <c:numCache>
                      <c:formatCode>"€"\ #,##0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xmlns:c15="http://schemas.microsoft.com/office/drawing/2012/chart">
                  <c:ext xmlns:c16="http://schemas.microsoft.com/office/drawing/2014/chart" uri="{C3380CC4-5D6E-409C-BE32-E72D297353CC}">
                    <c16:uniqueId val="{00000005-3A0E-44EE-BD68-F9549827660A}"/>
                  </c:ext>
                </c:extLst>
              </c15:ser>
            </c15:filteredScatterSeries>
            <c15:filteredScatterSeries>
              <c15:ser>
                <c:idx val="3"/>
                <c:order val="2"/>
                <c:tx>
                  <c:strRef>
                    <c:extLst xmlns:c15="http://schemas.microsoft.com/office/drawing/2012/chart">
                      <c:ext xmlns:c15="http://schemas.microsoft.com/office/drawing/2012/chart" uri="{02D57815-91ED-43cb-92C2-25804820EDAC}">
                        <c15:formulaRef>
                          <c15:sqref>Wirtschaftlichkeitsberechnung!$AT$74</c15:sqref>
                        </c15:formulaRef>
                      </c:ext>
                    </c:extLst>
                    <c:strCache>
                      <c:ptCount val="1"/>
                      <c:pt idx="0">
                        <c:v>Kein System gewählt</c:v>
                      </c:pt>
                    </c:strCache>
                  </c:strRef>
                </c:tx>
                <c:spPr>
                  <a:ln>
                    <a:solidFill>
                      <a:srgbClr val="FFCD2D"/>
                    </a:solidFill>
                  </a:ln>
                </c:spPr>
                <c:marker>
                  <c:symbol val="none"/>
                </c:marker>
                <c:xVal>
                  <c:numRef>
                    <c:extLst xmlns:c15="http://schemas.microsoft.com/office/drawing/2012/chart">
                      <c:ext xmlns:c15="http://schemas.microsoft.com/office/drawing/2012/chart" uri="{02D57815-91ED-43cb-92C2-25804820EDAC}">
                        <c15:formulaRef>
                          <c15:sqref>Wirtschaftlichkeitsberechnung!$AQ$75:$AQ$95</c15:sqref>
                        </c15:formulaRef>
                      </c:ext>
                    </c:extLst>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extLst xmlns:c15="http://schemas.microsoft.com/office/drawing/2012/chart">
                      <c:ext xmlns:c15="http://schemas.microsoft.com/office/drawing/2012/chart" uri="{02D57815-91ED-43cb-92C2-25804820EDAC}">
                        <c15:formulaRef>
                          <c15:sqref>Wirtschaftlichkeitsberechnung!$AT$75:$AT$95</c15:sqref>
                        </c15:formulaRef>
                      </c:ext>
                    </c:extLst>
                    <c:numCache>
                      <c:formatCode>"€"\ #,##0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xmlns:c15="http://schemas.microsoft.com/office/drawing/2012/chart">
                  <c:ext xmlns:c16="http://schemas.microsoft.com/office/drawing/2014/chart" uri="{C3380CC4-5D6E-409C-BE32-E72D297353CC}">
                    <c16:uniqueId val="{00000008-3A0E-44EE-BD68-F9549827660A}"/>
                  </c:ext>
                </c:extLst>
              </c15:ser>
            </c15:filteredScatterSeries>
          </c:ext>
        </c:extLst>
      </c:scatterChart>
      <c:valAx>
        <c:axId val="175197184"/>
        <c:scaling>
          <c:orientation val="minMax"/>
          <c:max val="20"/>
        </c:scaling>
        <c:delete val="0"/>
        <c:axPos val="b"/>
        <c:numFmt formatCode="General" sourceLinked="1"/>
        <c:majorTickMark val="out"/>
        <c:minorTickMark val="none"/>
        <c:tickLblPos val="nextTo"/>
        <c:txPr>
          <a:bodyPr/>
          <a:lstStyle/>
          <a:p>
            <a:pPr>
              <a:defRPr sz="900">
                <a:solidFill>
                  <a:schemeClr val="tx1">
                    <a:lumMod val="50000"/>
                    <a:lumOff val="50000"/>
                  </a:schemeClr>
                </a:solidFill>
                <a:latin typeface="Arial" pitchFamily="34" charset="0"/>
                <a:cs typeface="Arial" pitchFamily="34" charset="0"/>
              </a:defRPr>
            </a:pPr>
            <a:endParaRPr lang="de-DE"/>
          </a:p>
        </c:txPr>
        <c:crossAx val="179090176"/>
        <c:crosses val="autoZero"/>
        <c:crossBetween val="midCat"/>
        <c:majorUnit val="5"/>
      </c:valAx>
      <c:valAx>
        <c:axId val="179090176"/>
        <c:scaling>
          <c:orientation val="minMax"/>
        </c:scaling>
        <c:delete val="0"/>
        <c:axPos val="l"/>
        <c:majorGridlines/>
        <c:numFmt formatCode="#,##0\ &quot;kg&quot;" sourceLinked="1"/>
        <c:majorTickMark val="out"/>
        <c:minorTickMark val="none"/>
        <c:tickLblPos val="nextTo"/>
        <c:txPr>
          <a:bodyPr/>
          <a:lstStyle/>
          <a:p>
            <a:pPr>
              <a:defRPr sz="900">
                <a:solidFill>
                  <a:schemeClr val="tx1">
                    <a:lumMod val="50000"/>
                    <a:lumOff val="50000"/>
                  </a:schemeClr>
                </a:solidFill>
                <a:latin typeface="Arial" pitchFamily="34" charset="0"/>
                <a:cs typeface="Arial" pitchFamily="34" charset="0"/>
              </a:defRPr>
            </a:pPr>
            <a:endParaRPr lang="de-DE"/>
          </a:p>
        </c:txPr>
        <c:crossAx val="175197184"/>
        <c:crosses val="autoZero"/>
        <c:crossBetween val="midCat"/>
      </c:valAx>
    </c:plotArea>
    <c:legend>
      <c:legendPos val="r"/>
      <c:layout>
        <c:manualLayout>
          <c:xMode val="edge"/>
          <c:yMode val="edge"/>
          <c:x val="0.17329007240929059"/>
          <c:y val="0.15947345043408032"/>
          <c:w val="0.56123135361848608"/>
          <c:h val="0.16315283666464767"/>
        </c:manualLayout>
      </c:layout>
      <c:overlay val="0"/>
      <c:spPr>
        <a:noFill/>
      </c:spPr>
      <c:txPr>
        <a:bodyPr/>
        <a:lstStyle/>
        <a:p>
          <a:pPr>
            <a:defRPr sz="900">
              <a:solidFill>
                <a:schemeClr val="tx1">
                  <a:lumMod val="50000"/>
                  <a:lumOff val="50000"/>
                </a:schemeClr>
              </a:solidFill>
              <a:latin typeface="Arial" pitchFamily="34" charset="0"/>
              <a:cs typeface="Arial" pitchFamily="34" charset="0"/>
            </a:defRPr>
          </a:pPr>
          <a:endParaRPr lang="de-DE"/>
        </a:p>
      </c:txPr>
    </c:legend>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80261121206003"/>
          <c:y val="0.34149838046424896"/>
          <c:w val="0.79519552637522684"/>
          <c:h val="0.58673252799921749"/>
        </c:manualLayout>
      </c:layout>
      <c:barChart>
        <c:barDir val="col"/>
        <c:grouping val="stacked"/>
        <c:varyColors val="0"/>
        <c:ser>
          <c:idx val="0"/>
          <c:order val="0"/>
          <c:tx>
            <c:strRef>
              <c:f>Wirtschaftlichkeitsberechnung!$AQ$101</c:f>
              <c:strCache>
                <c:ptCount val="1"/>
                <c:pt idx="0">
                  <c:v>Investitionskosten</c:v>
                </c:pt>
              </c:strCache>
            </c:strRef>
          </c:tx>
          <c:spPr>
            <a:solidFill>
              <a:srgbClr val="31859C"/>
            </a:solidFill>
          </c:spPr>
          <c:invertIfNegative val="0"/>
          <c:dPt>
            <c:idx val="0"/>
            <c:invertIfNegative val="0"/>
            <c:bubble3D val="0"/>
            <c:spPr>
              <a:solidFill>
                <a:srgbClr val="D60093"/>
              </a:solidFill>
            </c:spPr>
            <c:extLst xmlns:c16r2="http://schemas.microsoft.com/office/drawing/2015/06/chart">
              <c:ext xmlns:c16="http://schemas.microsoft.com/office/drawing/2014/chart" uri="{C3380CC4-5D6E-409C-BE32-E72D297353CC}">
                <c16:uniqueId val="{00000000-E39B-4571-94A7-EFDDE5D72502}"/>
              </c:ext>
            </c:extLst>
          </c:dPt>
          <c:dPt>
            <c:idx val="1"/>
            <c:invertIfNegative val="0"/>
            <c:bubble3D val="0"/>
            <c:spPr>
              <a:solidFill>
                <a:srgbClr val="2CB1AE"/>
              </a:solidFill>
            </c:spPr>
            <c:extLst xmlns:c16r2="http://schemas.microsoft.com/office/drawing/2015/06/chart">
              <c:ext xmlns:c16="http://schemas.microsoft.com/office/drawing/2014/chart" uri="{C3380CC4-5D6E-409C-BE32-E72D297353CC}">
                <c16:uniqueId val="{00000003-E39B-4571-94A7-EFDDE5D72502}"/>
              </c:ext>
            </c:extLst>
          </c:dPt>
          <c:dPt>
            <c:idx val="2"/>
            <c:invertIfNegative val="0"/>
            <c:bubble3D val="0"/>
            <c:spPr>
              <a:solidFill>
                <a:srgbClr val="EAB200"/>
              </a:solidFill>
            </c:spPr>
            <c:extLst xmlns:c16r2="http://schemas.microsoft.com/office/drawing/2015/06/chart">
              <c:ext xmlns:c16="http://schemas.microsoft.com/office/drawing/2014/chart" uri="{C3380CC4-5D6E-409C-BE32-E72D297353CC}">
                <c16:uniqueId val="{00000006-E39B-4571-94A7-EFDDE5D72502}"/>
              </c:ext>
            </c:extLst>
          </c:dPt>
          <c:dLbls>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(Wirtschaftlichkeitsberechnung!$AR$100,Wirtschaftlichkeitsberechnung!$AS$100,Wirtschaftlichkeitsberechnung!$AT$100)</c:f>
            </c:multiLvlStrRef>
          </c:cat>
          <c:val>
            <c:numRef>
              <c:f>Wirtschaftlichkeitsberechnung!$AR$101:$AT$101</c:f>
              <c:numCache>
                <c:formatCode>"€"\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73EB-456A-8C73-1F9835D4E5BA}"/>
            </c:ext>
          </c:extLst>
        </c:ser>
        <c:ser>
          <c:idx val="1"/>
          <c:order val="1"/>
          <c:tx>
            <c:strRef>
              <c:f>Wirtschaftlichkeitsberechnung!$AQ$102</c:f>
              <c:strCache>
                <c:ptCount val="1"/>
                <c:pt idx="0">
                  <c:v>Verbrauchskosten</c:v>
                </c:pt>
              </c:strCache>
            </c:strRef>
          </c:tx>
          <c:spPr>
            <a:solidFill>
              <a:srgbClr val="FFC000"/>
            </a:solidFill>
          </c:spPr>
          <c:invertIfNegative val="0"/>
          <c:dPt>
            <c:idx val="0"/>
            <c:invertIfNegative val="0"/>
            <c:bubble3D val="0"/>
            <c:spPr>
              <a:solidFill>
                <a:srgbClr val="FF5BCC"/>
              </a:solidFill>
            </c:spPr>
            <c:extLst xmlns:c16r2="http://schemas.microsoft.com/office/drawing/2015/06/chart">
              <c:ext xmlns:c16="http://schemas.microsoft.com/office/drawing/2014/chart" uri="{C3380CC4-5D6E-409C-BE32-E72D297353CC}">
                <c16:uniqueId val="{00000001-E39B-4571-94A7-EFDDE5D72502}"/>
              </c:ext>
            </c:extLst>
          </c:dPt>
          <c:dPt>
            <c:idx val="1"/>
            <c:invertIfNegative val="0"/>
            <c:bubble3D val="0"/>
            <c:spPr>
              <a:solidFill>
                <a:srgbClr val="57D8D5"/>
              </a:solidFill>
            </c:spPr>
            <c:extLst xmlns:c16r2="http://schemas.microsoft.com/office/drawing/2015/06/chart">
              <c:ext xmlns:c16="http://schemas.microsoft.com/office/drawing/2014/chart" uri="{C3380CC4-5D6E-409C-BE32-E72D297353CC}">
                <c16:uniqueId val="{00000004-E39B-4571-94A7-EFDDE5D72502}"/>
              </c:ext>
            </c:extLst>
          </c:dPt>
          <c:dPt>
            <c:idx val="2"/>
            <c:invertIfNegative val="0"/>
            <c:bubble3D val="0"/>
            <c:spPr>
              <a:solidFill>
                <a:srgbClr val="FFD13F"/>
              </a:solidFill>
            </c:spPr>
            <c:extLst xmlns:c16r2="http://schemas.microsoft.com/office/drawing/2015/06/chart">
              <c:ext xmlns:c16="http://schemas.microsoft.com/office/drawing/2014/chart" uri="{C3380CC4-5D6E-409C-BE32-E72D297353CC}">
                <c16:uniqueId val="{00000007-E39B-4571-94A7-EFDDE5D72502}"/>
              </c:ext>
            </c:extLst>
          </c:dPt>
          <c:dLbls>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(Wirtschaftlichkeitsberechnung!$AR$100,Wirtschaftlichkeitsberechnung!$AS$100,Wirtschaftlichkeitsberechnung!$AT$100)</c:f>
            </c:multiLvlStrRef>
          </c:cat>
          <c:val>
            <c:numRef>
              <c:f>Wirtschaftlichkeitsberechnung!$AR$102:$AT$102</c:f>
              <c:numCache>
                <c:formatCode>"€"\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3EB-456A-8C73-1F9835D4E5BA}"/>
            </c:ext>
          </c:extLst>
        </c:ser>
        <c:ser>
          <c:idx val="2"/>
          <c:order val="2"/>
          <c:tx>
            <c:strRef>
              <c:f>Wirtschaftlichkeitsberechnung!$AQ$103</c:f>
              <c:strCache>
                <c:ptCount val="1"/>
                <c:pt idx="0">
                  <c:v>Betriebskosten</c:v>
                </c:pt>
              </c:strCache>
            </c:strRef>
          </c:tx>
          <c:spPr>
            <a:solidFill>
              <a:srgbClr val="77933C"/>
            </a:solidFill>
          </c:spPr>
          <c:invertIfNegative val="0"/>
          <c:dPt>
            <c:idx val="0"/>
            <c:invertIfNegative val="0"/>
            <c:bubble3D val="0"/>
            <c:spPr>
              <a:solidFill>
                <a:srgbClr val="FFB3E7"/>
              </a:solidFill>
            </c:spPr>
            <c:extLst xmlns:c16r2="http://schemas.microsoft.com/office/drawing/2015/06/chart">
              <c:ext xmlns:c16="http://schemas.microsoft.com/office/drawing/2014/chart" uri="{C3380CC4-5D6E-409C-BE32-E72D297353CC}">
                <c16:uniqueId val="{00000002-E39B-4571-94A7-EFDDE5D72502}"/>
              </c:ext>
            </c:extLst>
          </c:dPt>
          <c:dPt>
            <c:idx val="1"/>
            <c:invertIfNegative val="0"/>
            <c:bubble3D val="0"/>
            <c:spPr>
              <a:solidFill>
                <a:srgbClr val="ABEBE9"/>
              </a:solidFill>
            </c:spPr>
            <c:extLst xmlns:c16r2="http://schemas.microsoft.com/office/drawing/2015/06/chart">
              <c:ext xmlns:c16="http://schemas.microsoft.com/office/drawing/2014/chart" uri="{C3380CC4-5D6E-409C-BE32-E72D297353CC}">
                <c16:uniqueId val="{00000005-E39B-4571-94A7-EFDDE5D72502}"/>
              </c:ext>
            </c:extLst>
          </c:dPt>
          <c:dPt>
            <c:idx val="2"/>
            <c:invertIfNegative val="0"/>
            <c:bubble3D val="0"/>
            <c:spPr>
              <a:solidFill>
                <a:srgbClr val="FFE285"/>
              </a:solidFill>
            </c:spPr>
            <c:extLst xmlns:c16r2="http://schemas.microsoft.com/office/drawing/2015/06/chart">
              <c:ext xmlns:c16="http://schemas.microsoft.com/office/drawing/2014/chart" uri="{C3380CC4-5D6E-409C-BE32-E72D297353CC}">
                <c16:uniqueId val="{00000008-E39B-4571-94A7-EFDDE5D72502}"/>
              </c:ext>
            </c:extLst>
          </c:dPt>
          <c:dLbls>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(Wirtschaftlichkeitsberechnung!$AR$100,Wirtschaftlichkeitsberechnung!$AS$100,Wirtschaftlichkeitsberechnung!$AT$100)</c:f>
            </c:multiLvlStrRef>
          </c:cat>
          <c:val>
            <c:numRef>
              <c:f>Wirtschaftlichkeitsberechnung!$AR$103:$AT$103</c:f>
              <c:numCache>
                <c:formatCode>"€"\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73EB-456A-8C73-1F9835D4E5BA}"/>
            </c:ext>
          </c:extLst>
        </c:ser>
        <c:dLbls>
          <c:dLblPos val="inBase"/>
          <c:showLegendKey val="0"/>
          <c:showVal val="1"/>
          <c:showCatName val="0"/>
          <c:showSerName val="0"/>
          <c:showPercent val="0"/>
          <c:showBubbleSize val="0"/>
        </c:dLbls>
        <c:gapWidth val="150"/>
        <c:overlap val="100"/>
        <c:axId val="179128192"/>
        <c:axId val="179129728"/>
      </c:barChart>
      <c:catAx>
        <c:axId val="179128192"/>
        <c:scaling>
          <c:orientation val="minMax"/>
        </c:scaling>
        <c:delete val="0"/>
        <c:axPos val="b"/>
        <c:numFmt formatCode="General" sourceLinked="0"/>
        <c:majorTickMark val="out"/>
        <c:minorTickMark val="none"/>
        <c:tickLblPos val="nextTo"/>
        <c:spPr>
          <a:ln/>
        </c:spPr>
        <c:txPr>
          <a:bodyPr rot="0" vert="horz" anchor="t" anchorCtr="0"/>
          <a:lstStyle/>
          <a:p>
            <a:pPr>
              <a:defRPr sz="800">
                <a:solidFill>
                  <a:schemeClr val="tx1">
                    <a:lumMod val="50000"/>
                    <a:lumOff val="50000"/>
                  </a:schemeClr>
                </a:solidFill>
              </a:defRPr>
            </a:pPr>
            <a:endParaRPr lang="de-DE"/>
          </a:p>
        </c:txPr>
        <c:crossAx val="179129728"/>
        <c:crosses val="autoZero"/>
        <c:auto val="1"/>
        <c:lblAlgn val="ctr"/>
        <c:lblOffset val="100"/>
        <c:noMultiLvlLbl val="0"/>
      </c:catAx>
      <c:valAx>
        <c:axId val="179129728"/>
        <c:scaling>
          <c:orientation val="minMax"/>
        </c:scaling>
        <c:delete val="0"/>
        <c:axPos val="l"/>
        <c:majorGridlines>
          <c:spPr>
            <a:ln>
              <a:solidFill>
                <a:schemeClr val="bg1">
                  <a:lumMod val="75000"/>
                </a:schemeClr>
              </a:solidFill>
            </a:ln>
          </c:spPr>
        </c:majorGridlines>
        <c:numFmt formatCode="&quot;€&quot;\ #,##0" sourceLinked="1"/>
        <c:majorTickMark val="out"/>
        <c:minorTickMark val="none"/>
        <c:tickLblPos val="nextTo"/>
        <c:txPr>
          <a:bodyPr/>
          <a:lstStyle/>
          <a:p>
            <a:pPr>
              <a:defRPr>
                <a:solidFill>
                  <a:schemeClr val="tx1">
                    <a:lumMod val="50000"/>
                    <a:lumOff val="50000"/>
                  </a:schemeClr>
                </a:solidFill>
              </a:defRPr>
            </a:pPr>
            <a:endParaRPr lang="de-DE"/>
          </a:p>
        </c:txPr>
        <c:crossAx val="179128192"/>
        <c:crosses val="autoZero"/>
        <c:crossBetween val="between"/>
      </c:valAx>
    </c:plotArea>
    <c:legend>
      <c:legendPos val="r"/>
      <c:layout>
        <c:manualLayout>
          <c:xMode val="edge"/>
          <c:yMode val="edge"/>
          <c:x val="0.15752936865797759"/>
          <c:y val="0.17661832312028758"/>
          <c:w val="0.43090024003409833"/>
          <c:h val="0.14814201881920108"/>
        </c:manualLayout>
      </c:layout>
      <c:overlay val="0"/>
      <c:spPr>
        <a:noFill/>
      </c:spPr>
      <c:txPr>
        <a:bodyPr/>
        <a:lstStyle/>
        <a:p>
          <a:pPr>
            <a:defRPr sz="1100">
              <a:solidFill>
                <a:schemeClr val="tx1">
                  <a:lumMod val="50000"/>
                  <a:lumOff val="50000"/>
                </a:schemeClr>
              </a:solidFill>
            </a:defRPr>
          </a:pPr>
          <a:endParaRPr lang="de-DE"/>
        </a:p>
      </c:txPr>
    </c:legend>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4">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spPr>
      <a:ln>
        <a:solidFill>
          <a:schemeClr val="tx1">
            <a:lumMod val="15000"/>
            <a:lumOff val="85000"/>
          </a:schemeClr>
        </a:solidFill>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31750">
        <a:solidFill>
          <a:schemeClr val="phClr">
            <a:alpha val="70000"/>
          </a:schemeClr>
        </a:solidFill>
      </a:ln>
    </cs:spPr>
  </cs:dataPoint>
  <cs:dataPoint3D>
    <cs:lnRef idx="0">
      <cs:styleClr val="auto"/>
    </cs:lnRef>
    <cs:fillRef idx="0">
      <cs:styleClr val="auto"/>
    </cs:fillRef>
    <cs:effectRef idx="0"/>
    <cs:fontRef idx="minor">
      <a:schemeClr val="dk1"/>
    </cs:fontRef>
    <cs:spPr>
      <a:noFill/>
      <a:ln w="31750">
        <a:solidFill>
          <a:schemeClr val="phClr">
            <a:alpha val="70000"/>
          </a:scheme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a:solidFill>
          <a:schemeClr val="tx1">
            <a:lumMod val="15000"/>
            <a:lumOff val="85000"/>
          </a:schemeClr>
        </a:solidFill>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9050" cap="rnd">
        <a:solidFill>
          <a:schemeClr val="phClr"/>
        </a:solidFill>
        <a:prstDash val="sysDot"/>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spPr>
      <a:ln>
        <a:solidFill>
          <a:schemeClr val="tx1">
            <a:lumMod val="25000"/>
            <a:lumOff val="75000"/>
          </a:schemeClr>
        </a:solidFill>
      </a:ln>
    </cs:spPr>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M$50" lockText="1" noThreeD="1"/>
</file>

<file path=xl/ctrlProps/ctrlProp10.xml><?xml version="1.0" encoding="utf-8"?>
<formControlPr xmlns="http://schemas.microsoft.com/office/spreadsheetml/2009/9/main" objectType="CheckBox" fmlaLink="$K$17" lockText="1" noThreeD="1"/>
</file>

<file path=xl/ctrlProps/ctrlProp100.xml><?xml version="1.0" encoding="utf-8"?>
<formControlPr xmlns="http://schemas.microsoft.com/office/spreadsheetml/2009/9/main" objectType="Drop" dropLines="11" dropStyle="combo" dx="16" fmlaLink="$N$17" fmlaRange="$O$16:$O$26" noThreeD="1" sel="8" val="0"/>
</file>

<file path=xl/ctrlProps/ctrlProp101.xml><?xml version="1.0" encoding="utf-8"?>
<formControlPr xmlns="http://schemas.microsoft.com/office/spreadsheetml/2009/9/main" objectType="Drop" dropLines="3" dropStyle="combo" dx="16" fmlaLink="$J$28" fmlaRange="$K$27:$K$29" noThreeD="1" val="0"/>
</file>

<file path=xl/ctrlProps/ctrlProp11.xml><?xml version="1.0" encoding="utf-8"?>
<formControlPr xmlns="http://schemas.microsoft.com/office/spreadsheetml/2009/9/main" objectType="CheckBox" fmlaLink="$K$25" noThreeD="1"/>
</file>

<file path=xl/ctrlProps/ctrlProp12.xml><?xml version="1.0" encoding="utf-8"?>
<formControlPr xmlns="http://schemas.microsoft.com/office/spreadsheetml/2009/9/main" objectType="CheckBox" fmlaLink="$K$24" lockText="1" noThreeD="1"/>
</file>

<file path=xl/ctrlProps/ctrlProp13.xml><?xml version="1.0" encoding="utf-8"?>
<formControlPr xmlns="http://schemas.microsoft.com/office/spreadsheetml/2009/9/main" objectType="CheckBox" fmlaLink="$K$23" lockText="1" noThreeD="1"/>
</file>

<file path=xl/ctrlProps/ctrlProp14.xml><?xml version="1.0" encoding="utf-8"?>
<formControlPr xmlns="http://schemas.microsoft.com/office/spreadsheetml/2009/9/main" objectType="CheckBox" fmlaLink="$K$22" lockText="1" noThreeD="1"/>
</file>

<file path=xl/ctrlProps/ctrlProp15.xml><?xml version="1.0" encoding="utf-8"?>
<formControlPr xmlns="http://schemas.microsoft.com/office/spreadsheetml/2009/9/main" objectType="CheckBox" fmlaLink="$J$25" lockText="1" noThreeD="1"/>
</file>

<file path=xl/ctrlProps/ctrlProp16.xml><?xml version="1.0" encoding="utf-8"?>
<formControlPr xmlns="http://schemas.microsoft.com/office/spreadsheetml/2009/9/main" objectType="CheckBox" fmlaLink="$J$24" lockText="1" noThreeD="1"/>
</file>

<file path=xl/ctrlProps/ctrlProp17.xml><?xml version="1.0" encoding="utf-8"?>
<formControlPr xmlns="http://schemas.microsoft.com/office/spreadsheetml/2009/9/main" objectType="CheckBox" fmlaLink="$J$23" lockText="1" noThreeD="1"/>
</file>

<file path=xl/ctrlProps/ctrlProp18.xml><?xml version="1.0" encoding="utf-8"?>
<formControlPr xmlns="http://schemas.microsoft.com/office/spreadsheetml/2009/9/main" objectType="CheckBox" fmlaLink="$J$22" lockText="1" noThreeD="1"/>
</file>

<file path=xl/ctrlProps/ctrlProp19.xml><?xml version="1.0" encoding="utf-8"?>
<formControlPr xmlns="http://schemas.microsoft.com/office/spreadsheetml/2009/9/main" objectType="CheckBox" fmlaLink="$K$41" lockText="1" noThreeD="1"/>
</file>

<file path=xl/ctrlProps/ctrlProp2.xml><?xml version="1.0" encoding="utf-8"?>
<formControlPr xmlns="http://schemas.microsoft.com/office/spreadsheetml/2009/9/main" objectType="CheckBox" fmlaLink="$K$48" lockText="1" noThreeD="1"/>
</file>

<file path=xl/ctrlProps/ctrlProp20.xml><?xml version="1.0" encoding="utf-8"?>
<formControlPr xmlns="http://schemas.microsoft.com/office/spreadsheetml/2009/9/main" objectType="CheckBox" fmlaLink="$L$41" lockText="1" noThreeD="1"/>
</file>

<file path=xl/ctrlProps/ctrlProp21.xml><?xml version="1.0" encoding="utf-8"?>
<formControlPr xmlns="http://schemas.microsoft.com/office/spreadsheetml/2009/9/main" objectType="CheckBox" fmlaLink="$M$41" lockText="1" noThreeD="1"/>
</file>

<file path=xl/ctrlProps/ctrlProp22.xml><?xml version="1.0" encoding="utf-8"?>
<formControlPr xmlns="http://schemas.microsoft.com/office/spreadsheetml/2009/9/main" objectType="CheckBox" fmlaLink="$N$41" lockText="1" noThreeD="1"/>
</file>

<file path=xl/ctrlProps/ctrlProp23.xml><?xml version="1.0" encoding="utf-8"?>
<formControlPr xmlns="http://schemas.microsoft.com/office/spreadsheetml/2009/9/main" objectType="CheckBox" fmlaLink="$N$45" lockText="1" noThreeD="1"/>
</file>

<file path=xl/ctrlProps/ctrlProp24.xml><?xml version="1.0" encoding="utf-8"?>
<formControlPr xmlns="http://schemas.microsoft.com/office/spreadsheetml/2009/9/main" objectType="CheckBox" fmlaLink="$K$45" lockText="1" noThreeD="1"/>
</file>

<file path=xl/ctrlProps/ctrlProp25.xml><?xml version="1.0" encoding="utf-8"?>
<formControlPr xmlns="http://schemas.microsoft.com/office/spreadsheetml/2009/9/main" objectType="CheckBox" fmlaLink="$L$45" lockText="1" noThreeD="1"/>
</file>

<file path=xl/ctrlProps/ctrlProp26.xml><?xml version="1.0" encoding="utf-8"?>
<formControlPr xmlns="http://schemas.microsoft.com/office/spreadsheetml/2009/9/main" objectType="CheckBox" fmlaLink="$L$48" lockText="1" noThreeD="1"/>
</file>

<file path=xl/ctrlProps/ctrlProp27.xml><?xml version="1.0" encoding="utf-8"?>
<formControlPr xmlns="http://schemas.microsoft.com/office/spreadsheetml/2009/9/main" objectType="CheckBox" fmlaLink="$M$48" lockText="1" noThreeD="1"/>
</file>

<file path=xl/ctrlProps/ctrlProp28.xml><?xml version="1.0" encoding="utf-8"?>
<formControlPr xmlns="http://schemas.microsoft.com/office/spreadsheetml/2009/9/main" objectType="CheckBox" fmlaLink="$K$50" lockText="1" noThreeD="1"/>
</file>

<file path=xl/ctrlProps/ctrlProp29.xml><?xml version="1.0" encoding="utf-8"?>
<formControlPr xmlns="http://schemas.microsoft.com/office/spreadsheetml/2009/9/main" objectType="CheckBox" fmlaLink="$L$50" lockText="1" noThreeD="1"/>
</file>

<file path=xl/ctrlProps/ctrlProp3.xml><?xml version="1.0" encoding="utf-8"?>
<formControlPr xmlns="http://schemas.microsoft.com/office/spreadsheetml/2009/9/main" objectType="CheckBox" fmlaLink="$K$40" lockText="1" noThreeD="1"/>
</file>

<file path=xl/ctrlProps/ctrlProp30.xml><?xml version="1.0" encoding="utf-8"?>
<formControlPr xmlns="http://schemas.microsoft.com/office/spreadsheetml/2009/9/main" objectType="CheckBox" fmlaLink="$M$45" lockText="1" noThreeD="1"/>
</file>

<file path=xl/ctrlProps/ctrlProp31.xml><?xml version="1.0" encoding="utf-8"?>
<formControlPr xmlns="http://schemas.microsoft.com/office/spreadsheetml/2009/9/main" objectType="CheckBox" fmlaLink="$K$53" lockText="1" noThreeD="1"/>
</file>

<file path=xl/ctrlProps/ctrlProp32.xml><?xml version="1.0" encoding="utf-8"?>
<formControlPr xmlns="http://schemas.microsoft.com/office/spreadsheetml/2009/9/main" objectType="CheckBox" fmlaLink="$K$54" lockText="1" noThreeD="1"/>
</file>

<file path=xl/ctrlProps/ctrlProp33.xml><?xml version="1.0" encoding="utf-8"?>
<formControlPr xmlns="http://schemas.microsoft.com/office/spreadsheetml/2009/9/main" objectType="CheckBox" fmlaLink="$L$54" lockText="1" noThreeD="1"/>
</file>

<file path=xl/ctrlProps/ctrlProp34.xml><?xml version="1.0" encoding="utf-8"?>
<formControlPr xmlns="http://schemas.microsoft.com/office/spreadsheetml/2009/9/main" objectType="CheckBox" fmlaLink="$M$54" lockText="1" noThreeD="1"/>
</file>

<file path=xl/ctrlProps/ctrlProp35.xml><?xml version="1.0" encoding="utf-8"?>
<formControlPr xmlns="http://schemas.microsoft.com/office/spreadsheetml/2009/9/main" objectType="CheckBox" fmlaLink="$N$54" lockText="1" noThreeD="1"/>
</file>

<file path=xl/ctrlProps/ctrlProp36.xml><?xml version="1.0" encoding="utf-8"?>
<formControlPr xmlns="http://schemas.microsoft.com/office/spreadsheetml/2009/9/main" objectType="CheckBox" fmlaLink="$O$54" lockText="1" noThreeD="1"/>
</file>

<file path=xl/ctrlProps/ctrlProp37.xml><?xml version="1.0" encoding="utf-8"?>
<formControlPr xmlns="http://schemas.microsoft.com/office/spreadsheetml/2009/9/main" objectType="CheckBox" fmlaLink="$K$58" lockText="1" noThreeD="1"/>
</file>

<file path=xl/ctrlProps/ctrlProp38.xml><?xml version="1.0" encoding="utf-8"?>
<formControlPr xmlns="http://schemas.microsoft.com/office/spreadsheetml/2009/9/main" objectType="CheckBox" fmlaLink="$L$58" lockText="1" noThreeD="1"/>
</file>

<file path=xl/ctrlProps/ctrlProp39.xml><?xml version="1.0" encoding="utf-8"?>
<formControlPr xmlns="http://schemas.microsoft.com/office/spreadsheetml/2009/9/main" objectType="CheckBox" fmlaLink="$M$18" lockText="1" noThreeD="1"/>
</file>

<file path=xl/ctrlProps/ctrlProp4.xml><?xml version="1.0" encoding="utf-8"?>
<formControlPr xmlns="http://schemas.microsoft.com/office/spreadsheetml/2009/9/main" objectType="Drop" dropLines="16" dropStyle="combo" dx="16" fmlaLink="$K$216" fmlaRange="$L$215:$L$230" noThreeD="1" sel="3" val="0"/>
</file>

<file path=xl/ctrlProps/ctrlProp40.xml><?xml version="1.0" encoding="utf-8"?>
<formControlPr xmlns="http://schemas.microsoft.com/office/spreadsheetml/2009/9/main" objectType="CheckBox" fmlaLink="$M$58" lockText="1" noThreeD="1"/>
</file>

<file path=xl/ctrlProps/ctrlProp41.xml><?xml version="1.0" encoding="utf-8"?>
<formControlPr xmlns="http://schemas.microsoft.com/office/spreadsheetml/2009/9/main" objectType="Drop" dropLines="3" dropStyle="combo" dx="16" fmlaLink="$K$235" fmlaRange="$L$234:$L$236" noThreeD="1" val="0"/>
</file>

<file path=xl/ctrlProps/ctrlProp42.xml><?xml version="1.0" encoding="utf-8"?>
<formControlPr xmlns="http://schemas.microsoft.com/office/spreadsheetml/2009/9/main" objectType="Drop" dropLines="3" dropStyle="combo" dx="16" fmlaLink="$N$235" fmlaRange="$O$234:$O$236" noThreeD="1" sel="3" val="0"/>
</file>

<file path=xl/ctrlProps/ctrlProp43.xml><?xml version="1.0" encoding="utf-8"?>
<formControlPr xmlns="http://schemas.microsoft.com/office/spreadsheetml/2009/9/main" objectType="Drop" dropLines="3" dropStyle="combo" dx="16" fmlaLink="$Q$235" fmlaRange="$R$234:$R$236" noThreeD="1" sel="3" val="0"/>
</file>

<file path=xl/ctrlProps/ctrlProp44.xml><?xml version="1.0" encoding="utf-8"?>
<formControlPr xmlns="http://schemas.microsoft.com/office/spreadsheetml/2009/9/main" objectType="Drop" dropLines="3" dropStyle="combo" dx="16" fmlaLink="$K$243" fmlaRange="$L$242:$L$244" noThreeD="1" sel="2" val="0"/>
</file>

<file path=xl/ctrlProps/ctrlProp45.xml><?xml version="1.0" encoding="utf-8"?>
<formControlPr xmlns="http://schemas.microsoft.com/office/spreadsheetml/2009/9/main" objectType="Drop" dropLines="5" dropStyle="combo" dx="16" fmlaLink="$N$243" fmlaRange="$O$242:$O$246" noThreeD="1" sel="5" val="0"/>
</file>

<file path=xl/ctrlProps/ctrlProp46.xml><?xml version="1.0" encoding="utf-8"?>
<formControlPr xmlns="http://schemas.microsoft.com/office/spreadsheetml/2009/9/main" objectType="Drop" dropLines="3" dropStyle="combo" dx="16" fmlaLink="$P$243" fmlaRange="$Q$242:$Q$244" noThreeD="1" val="0"/>
</file>

<file path=xl/ctrlProps/ctrlProp47.xml><?xml version="1.0" encoding="utf-8"?>
<formControlPr xmlns="http://schemas.microsoft.com/office/spreadsheetml/2009/9/main" objectType="Drop" dropLines="4" dropStyle="combo" dx="16" fmlaLink="$K$252" fmlaRange="$L$251:$L$254" noThreeD="1" sel="4" val="0"/>
</file>

<file path=xl/ctrlProps/ctrlProp48.xml><?xml version="1.0" encoding="utf-8"?>
<formControlPr xmlns="http://schemas.microsoft.com/office/spreadsheetml/2009/9/main" objectType="Drop" dropLines="4" dropStyle="combo" dx="16" fmlaLink="$K$256" fmlaRange="$L$255:$L$258" noThreeD="1" sel="4" val="0"/>
</file>

<file path=xl/ctrlProps/ctrlProp49.xml><?xml version="1.0" encoding="utf-8"?>
<formControlPr xmlns="http://schemas.microsoft.com/office/spreadsheetml/2009/9/main" objectType="CheckBox" fmlaLink="$K$59" lockText="1" noThreeD="1"/>
</file>

<file path=xl/ctrlProps/ctrlProp5.xml><?xml version="1.0" encoding="utf-8"?>
<formControlPr xmlns="http://schemas.microsoft.com/office/spreadsheetml/2009/9/main" objectType="Drop" dropLines="3" dropStyle="combo" dx="16" fmlaLink="$M$216" fmlaRange="$N$215:$N$217" noThreeD="1" val="0"/>
</file>

<file path=xl/ctrlProps/ctrlProp50.xml><?xml version="1.0" encoding="utf-8"?>
<formControlPr xmlns="http://schemas.microsoft.com/office/spreadsheetml/2009/9/main" objectType="Drop" dropLines="7" dropStyle="combo" dx="16" fmlaLink="$P$256" fmlaRange="$Q$254:$Q$260" noThreeD="1" sel="3" val="0"/>
</file>

<file path=xl/ctrlProps/ctrlProp51.xml><?xml version="1.0" encoding="utf-8"?>
<formControlPr xmlns="http://schemas.microsoft.com/office/spreadsheetml/2009/9/main" objectType="Drop" dropLines="6" dropStyle="combo" dx="16" fmlaLink="$K$271" fmlaRange="$L$270:$L$275" noThreeD="1" sel="6" val="0"/>
</file>

<file path=xl/ctrlProps/ctrlProp52.xml><?xml version="1.0" encoding="utf-8"?>
<formControlPr xmlns="http://schemas.microsoft.com/office/spreadsheetml/2009/9/main" objectType="Drop" dropLines="3" dropStyle="combo" dx="16" fmlaLink="$K$279" fmlaRange="$L$278:$L$280" noThreeD="1" sel="3" val="0"/>
</file>

<file path=xl/ctrlProps/ctrlProp53.xml><?xml version="1.0" encoding="utf-8"?>
<formControlPr xmlns="http://schemas.microsoft.com/office/spreadsheetml/2009/9/main" objectType="CheckBox" fmlaLink="$K$55" lockText="1" noThreeD="1"/>
</file>

<file path=xl/ctrlProps/ctrlProp54.xml><?xml version="1.0" encoding="utf-8"?>
<formControlPr xmlns="http://schemas.microsoft.com/office/spreadsheetml/2009/9/main" objectType="CheckBox" fmlaLink="$K$59" lockText="1" noThreeD="1"/>
</file>

<file path=xl/ctrlProps/ctrlProp55.xml><?xml version="1.0" encoding="utf-8"?>
<formControlPr xmlns="http://schemas.microsoft.com/office/spreadsheetml/2009/9/main" objectType="CheckBox" fmlaLink="$K$57" lockText="1" noThreeD="1"/>
</file>

<file path=xl/ctrlProps/ctrlProp56.xml><?xml version="1.0" encoding="utf-8"?>
<formControlPr xmlns="http://schemas.microsoft.com/office/spreadsheetml/2009/9/main" objectType="Radio" checked="Checked" firstButton="1" fmlaLink="$J$34"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Drop" dropLines="16" dropStyle="combo" dx="16" fmlaLink="$K$55" fmlaRange="$L$54:$L$69" noThreeD="1" sel="16" val="0"/>
</file>

<file path=xl/ctrlProps/ctrlProp59.xml><?xml version="1.0" encoding="utf-8"?>
<formControlPr xmlns="http://schemas.microsoft.com/office/spreadsheetml/2009/9/main" objectType="Drop" dropLines="3" dropStyle="combo" dx="16" fmlaLink="$M$55" fmlaRange="$N$54:$N$56" noThreeD="1" sel="3" val="0"/>
</file>

<file path=xl/ctrlProps/ctrlProp6.xml><?xml version="1.0" encoding="utf-8"?>
<formControlPr xmlns="http://schemas.microsoft.com/office/spreadsheetml/2009/9/main" objectType="Drop" dropLines="3" dropStyle="combo" dx="16" fmlaLink="$M$221" fmlaRange="$N$220:$N$222" noThreeD="1" sel="3" val="0"/>
</file>

<file path=xl/ctrlProps/ctrlProp60.xml><?xml version="1.0" encoding="utf-8"?>
<formControlPr xmlns="http://schemas.microsoft.com/office/spreadsheetml/2009/9/main" objectType="Drop" dropLines="3" dropStyle="combo" dx="16" fmlaLink="$M$60" fmlaRange="$N$59:$N$61" noThreeD="1" sel="3" val="0"/>
</file>

<file path=xl/ctrlProps/ctrlProp61.xml><?xml version="1.0" encoding="utf-8"?>
<formControlPr xmlns="http://schemas.microsoft.com/office/spreadsheetml/2009/9/main" objectType="Drop" dropLines="3" dropStyle="combo" dx="16" fmlaLink="$M$63" fmlaRange="$N$62:$N$64" noThreeD="1" sel="3" val="0"/>
</file>

<file path=xl/ctrlProps/ctrlProp62.xml><?xml version="1.0" encoding="utf-8"?>
<formControlPr xmlns="http://schemas.microsoft.com/office/spreadsheetml/2009/9/main" objectType="CheckBox" fmlaLink="$L$7" lockText="1" noThreeD="1"/>
</file>

<file path=xl/ctrlProps/ctrlProp63.xml><?xml version="1.0" encoding="utf-8"?>
<formControlPr xmlns="http://schemas.microsoft.com/office/spreadsheetml/2009/9/main" objectType="CheckBox" fmlaLink="$K$7" lockText="1" noThreeD="1"/>
</file>

<file path=xl/ctrlProps/ctrlProp64.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Lines="3" dropStyle="combo" dx="16" fmlaLink="$M$224" fmlaRange="$N$223:$N$225" noThreeD="1" sel="2" val="0"/>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M$7" lockText="1" noThreeD="1"/>
</file>

<file path=xl/ctrlProps/ctrlProp74.xml><?xml version="1.0" encoding="utf-8"?>
<formControlPr xmlns="http://schemas.microsoft.com/office/spreadsheetml/2009/9/main" objectType="Drop" dropLines="3" dropStyle="combo" dx="16" fmlaLink="$K$74" fmlaRange="$L$73:$L$75" noThreeD="1" sel="3" val="0"/>
</file>

<file path=xl/ctrlProps/ctrlProp75.xml><?xml version="1.0" encoding="utf-8"?>
<formControlPr xmlns="http://schemas.microsoft.com/office/spreadsheetml/2009/9/main" objectType="Drop" dropLines="3" dropStyle="combo" dx="16" fmlaLink="$N$74" fmlaRange="$O$73:$O$75" noThreeD="1" sel="3" val="0"/>
</file>

<file path=xl/ctrlProps/ctrlProp76.xml><?xml version="1.0" encoding="utf-8"?>
<formControlPr xmlns="http://schemas.microsoft.com/office/spreadsheetml/2009/9/main" objectType="Drop" dropLines="3" dropStyle="combo" dx="16" fmlaLink="$Q$74" fmlaRange="$R$73:$R$75" noThreeD="1" sel="3" val="0"/>
</file>

<file path=xl/ctrlProps/ctrlProp77.xml><?xml version="1.0" encoding="utf-8"?>
<formControlPr xmlns="http://schemas.microsoft.com/office/spreadsheetml/2009/9/main" objectType="Drop" dropLines="3" dropStyle="combo" dx="16" fmlaLink="$K$82" fmlaRange="$L$81:$L$83" noThreeD="1" sel="3" val="0"/>
</file>

<file path=xl/ctrlProps/ctrlProp78.xml><?xml version="1.0" encoding="utf-8"?>
<formControlPr xmlns="http://schemas.microsoft.com/office/spreadsheetml/2009/9/main" objectType="Drop" dropLines="5" dropStyle="combo" dx="16" fmlaLink="$N$82" fmlaRange="$O$81:$O$85" noThreeD="1" sel="5" val="0"/>
</file>

<file path=xl/ctrlProps/ctrlProp79.xml><?xml version="1.0" encoding="utf-8"?>
<formControlPr xmlns="http://schemas.microsoft.com/office/spreadsheetml/2009/9/main" objectType="Drop" dropLines="3" dropStyle="combo" dx="16" fmlaLink="$P$82" fmlaRange="$Q$81:$Q$83" noThreeD="1" sel="3" val="0"/>
</file>

<file path=xl/ctrlProps/ctrlProp8.xml><?xml version="1.0" encoding="utf-8"?>
<formControlPr xmlns="http://schemas.microsoft.com/office/spreadsheetml/2009/9/main" objectType="CheckBox" fmlaLink="$L$18" lockText="1" noThreeD="1"/>
</file>

<file path=xl/ctrlProps/ctrlProp80.xml><?xml version="1.0" encoding="utf-8"?>
<formControlPr xmlns="http://schemas.microsoft.com/office/spreadsheetml/2009/9/main" objectType="Drop" dropLines="4" dropStyle="combo" dx="16" fmlaLink="$K$91" fmlaRange="$L$90:$L$93" noThreeD="1" sel="4" val="0"/>
</file>

<file path=xl/ctrlProps/ctrlProp81.xml><?xml version="1.0" encoding="utf-8"?>
<formControlPr xmlns="http://schemas.microsoft.com/office/spreadsheetml/2009/9/main" objectType="Drop" dropLines="4" dropStyle="combo" dx="16" fmlaLink="$K$95" fmlaRange="$L$94:$L$97" noThreeD="1" sel="4" val="0"/>
</file>

<file path=xl/ctrlProps/ctrlProp82.xml><?xml version="1.0" encoding="utf-8"?>
<formControlPr xmlns="http://schemas.microsoft.com/office/spreadsheetml/2009/9/main" objectType="Drop" dropLines="7" dropStyle="combo" dx="16" fmlaLink="$P$95" fmlaRange="$Q$93:$Q$99" noThreeD="1" sel="7" val="0"/>
</file>

<file path=xl/ctrlProps/ctrlProp83.xml><?xml version="1.0" encoding="utf-8"?>
<formControlPr xmlns="http://schemas.microsoft.com/office/spreadsheetml/2009/9/main" objectType="Drop" dropLines="6" dropStyle="combo" dx="16" fmlaLink="$K$110" fmlaRange="$L$109:$L$114" noThreeD="1" sel="6" val="0"/>
</file>

<file path=xl/ctrlProps/ctrlProp84.xml><?xml version="1.0" encoding="utf-8"?>
<formControlPr xmlns="http://schemas.microsoft.com/office/spreadsheetml/2009/9/main" objectType="Drop" dropLines="3" dropStyle="combo" dx="16" fmlaLink="$K$118" fmlaRange="$L$117:$L$119" noThreeD="1" sel="3" val="0"/>
</file>

<file path=xl/ctrlProps/ctrlProp85.xml><?xml version="1.0" encoding="utf-8"?>
<formControlPr xmlns="http://schemas.microsoft.com/office/spreadsheetml/2009/9/main" objectType="Radio" firstButton="1" fmlaLink="$K$137" lockText="1"/>
</file>

<file path=xl/ctrlProps/ctrlProp86.xml><?xml version="1.0" encoding="utf-8"?>
<formControlPr xmlns="http://schemas.microsoft.com/office/spreadsheetml/2009/9/main" objectType="Radio" checked="Checked" lockText="1"/>
</file>

<file path=xl/ctrlProps/ctrlProp87.xml><?xml version="1.0" encoding="utf-8"?>
<formControlPr xmlns="http://schemas.microsoft.com/office/spreadsheetml/2009/9/main" objectType="CheckBox" fmlaLink="$T$61" lockText="1"/>
</file>

<file path=xl/ctrlProps/ctrlProp88.xml><?xml version="1.0" encoding="utf-8"?>
<formControlPr xmlns="http://schemas.microsoft.com/office/spreadsheetml/2009/9/main" objectType="Drop" dropLines="13" dropStyle="combo" dx="16" fmlaLink="$T$18" fmlaRange="$AH$20:$AH$32" noThreeD="1" val="0"/>
</file>

<file path=xl/ctrlProps/ctrlProp89.xml><?xml version="1.0" encoding="utf-8"?>
<formControlPr xmlns="http://schemas.microsoft.com/office/spreadsheetml/2009/9/main" objectType="Drop" dropLines="13" dropStyle="combo" dx="16" fmlaLink="$X$18" fmlaRange="$AH$20:$AH$32" noThreeD="1" val="0"/>
</file>

<file path=xl/ctrlProps/ctrlProp9.xml><?xml version="1.0" encoding="utf-8"?>
<formControlPr xmlns="http://schemas.microsoft.com/office/spreadsheetml/2009/9/main" objectType="CheckBox" fmlaLink="$K$18" lockText="1" noThreeD="1"/>
</file>

<file path=xl/ctrlProps/ctrlProp90.xml><?xml version="1.0" encoding="utf-8"?>
<formControlPr xmlns="http://schemas.microsoft.com/office/spreadsheetml/2009/9/main" objectType="Drop" dropLines="13" dropStyle="combo" dx="16" fmlaLink="$AB$18" fmlaRange="$AH$20:$AH$32" noThreeD="1" val="0"/>
</file>

<file path=xl/ctrlProps/ctrlProp91.xml><?xml version="1.0" encoding="utf-8"?>
<formControlPr xmlns="http://schemas.microsoft.com/office/spreadsheetml/2009/9/main" objectType="CheckBox" fmlaLink="$V$41" lockText="1"/>
</file>

<file path=xl/ctrlProps/ctrlProp92.xml><?xml version="1.0" encoding="utf-8"?>
<formControlPr xmlns="http://schemas.microsoft.com/office/spreadsheetml/2009/9/main" objectType="CheckBox" fmlaLink="$W$41" lockText="1"/>
</file>

<file path=xl/ctrlProps/ctrlProp93.xml><?xml version="1.0" encoding="utf-8"?>
<formControlPr xmlns="http://schemas.microsoft.com/office/spreadsheetml/2009/9/main" objectType="CheckBox" fmlaLink="$X$41" lockText="1"/>
</file>

<file path=xl/ctrlProps/ctrlProp94.xml><?xml version="1.0" encoding="utf-8"?>
<formControlPr xmlns="http://schemas.microsoft.com/office/spreadsheetml/2009/9/main" objectType="CheckBox" fmlaLink="$V$41" lockText="1"/>
</file>

<file path=xl/ctrlProps/ctrlProp95.xml><?xml version="1.0" encoding="utf-8"?>
<formControlPr xmlns="http://schemas.microsoft.com/office/spreadsheetml/2009/9/main" objectType="CheckBox" fmlaLink="$W$41" lockText="1"/>
</file>

<file path=xl/ctrlProps/ctrlProp96.xml><?xml version="1.0" encoding="utf-8"?>
<formControlPr xmlns="http://schemas.microsoft.com/office/spreadsheetml/2009/9/main" objectType="CheckBox" fmlaLink="$V$41" lockText="1"/>
</file>

<file path=xl/ctrlProps/ctrlProp97.xml><?xml version="1.0" encoding="utf-8"?>
<formControlPr xmlns="http://schemas.microsoft.com/office/spreadsheetml/2009/9/main" objectType="CheckBox" fmlaLink="$X$41" lockText="1"/>
</file>

<file path=xl/ctrlProps/ctrlProp98.xml><?xml version="1.0" encoding="utf-8"?>
<formControlPr xmlns="http://schemas.microsoft.com/office/spreadsheetml/2009/9/main" objectType="Drop" dropLines="11" dropStyle="combo" dx="16" fmlaLink="$J$17" fmlaRange="$K$16:$K$26" noThreeD="1" sel="2" val="0"/>
</file>

<file path=xl/ctrlProps/ctrlProp99.xml><?xml version="1.0" encoding="utf-8"?>
<formControlPr xmlns="http://schemas.microsoft.com/office/spreadsheetml/2009/9/main" objectType="Drop" dropLines="11" dropStyle="combo" dx="16" fmlaLink="$L$17" fmlaRange="$M$16:$M$26" noThreeD="1" sel="3" val="0"/>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nergie-tirol.at/haustechnik/"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www.ris.bka.gv.at/GeltendeFassung.wxe?Abfrage=Bundesnormen&amp;Gesetzesnummer=20006147" TargetMode="External"/><Relationship Id="rId5" Type="http://schemas.openxmlformats.org/officeDocument/2006/relationships/image" Target="../media/image2.jpeg"/><Relationship Id="rId4" Type="http://schemas.openxmlformats.org/officeDocument/2006/relationships/hyperlink" Target="http://www.tirisdienste.at/scripts/esrimap.dll?Name=sonne&amp;Cmd=Start"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09221" TargetMode="External"/><Relationship Id="rId2" Type="http://schemas.openxmlformats.org/officeDocument/2006/relationships/image" Target="../media/image2.jpeg"/><Relationship Id="rId1" Type="http://schemas.openxmlformats.org/officeDocument/2006/relationships/hyperlink" Target="http://www.tirisdienste.at/scripts/esrimap.dll?Name=sonne&amp;Cmd=Start"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chart" Target="../charts/chart10.xml"/><Relationship Id="rId2" Type="http://schemas.openxmlformats.org/officeDocument/2006/relationships/chart" Target="../charts/chart7.xml"/><Relationship Id="rId1" Type="http://schemas.openxmlformats.org/officeDocument/2006/relationships/image" Target="../media/image4.jpeg"/><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hyperlink" Target="http://www.energie-tirol.at/fileadmin/energie-tirol/menu_energie%20tirol/downloadcenter/Energiepreismonitor.pdf"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35</xdr:row>
      <xdr:rowOff>85725</xdr:rowOff>
    </xdr:from>
    <xdr:to>
      <xdr:col>3</xdr:col>
      <xdr:colOff>675615</xdr:colOff>
      <xdr:row>64</xdr:row>
      <xdr:rowOff>189852</xdr:rowOff>
    </xdr:to>
    <xdr:pic>
      <xdr:nvPicPr>
        <xdr:cNvPr id="2" name="Grafik 1"/>
        <xdr:cNvPicPr>
          <a:picLocks noChangeAspect="1"/>
        </xdr:cNvPicPr>
      </xdr:nvPicPr>
      <xdr:blipFill>
        <a:blip xmlns:r="http://schemas.openxmlformats.org/officeDocument/2006/relationships" r:embed="rId1"/>
        <a:stretch>
          <a:fillRect/>
        </a:stretch>
      </xdr:blipFill>
      <xdr:spPr>
        <a:xfrm>
          <a:off x="3057525" y="11915775"/>
          <a:ext cx="5276190" cy="5180952"/>
        </a:xfrm>
        <a:prstGeom prst="rect">
          <a:avLst/>
        </a:prstGeom>
      </xdr:spPr>
    </xdr:pic>
    <xdr:clientData/>
  </xdr:twoCellAnchor>
  <xdr:twoCellAnchor>
    <xdr:from>
      <xdr:col>2</xdr:col>
      <xdr:colOff>3800475</xdr:colOff>
      <xdr:row>48</xdr:row>
      <xdr:rowOff>28574</xdr:rowOff>
    </xdr:from>
    <xdr:to>
      <xdr:col>3</xdr:col>
      <xdr:colOff>609525</xdr:colOff>
      <xdr:row>49</xdr:row>
      <xdr:rowOff>9524</xdr:rowOff>
    </xdr:to>
    <xdr:sp macro="" textlink="">
      <xdr:nvSpPr>
        <xdr:cNvPr id="5" name="Rechteck 4"/>
        <xdr:cNvSpPr/>
      </xdr:nvSpPr>
      <xdr:spPr bwMode="auto">
        <a:xfrm>
          <a:off x="6600825" y="14344649"/>
          <a:ext cx="1666800" cy="142875"/>
        </a:xfrm>
        <a:prstGeom prst="rect">
          <a:avLst/>
        </a:prstGeom>
        <a:noFill/>
        <a:ln w="127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lang="de-AT" sz="1100"/>
        </a:p>
      </xdr:txBody>
    </xdr:sp>
    <xdr:clientData/>
  </xdr:twoCellAnchor>
  <xdr:twoCellAnchor>
    <xdr:from>
      <xdr:col>2</xdr:col>
      <xdr:colOff>3800475</xdr:colOff>
      <xdr:row>49</xdr:row>
      <xdr:rowOff>9525</xdr:rowOff>
    </xdr:from>
    <xdr:to>
      <xdr:col>3</xdr:col>
      <xdr:colOff>609525</xdr:colOff>
      <xdr:row>50</xdr:row>
      <xdr:rowOff>0</xdr:rowOff>
    </xdr:to>
    <xdr:sp macro="" textlink="">
      <xdr:nvSpPr>
        <xdr:cNvPr id="6" name="Rechteck 5"/>
        <xdr:cNvSpPr/>
      </xdr:nvSpPr>
      <xdr:spPr bwMode="auto">
        <a:xfrm>
          <a:off x="6600825" y="14487525"/>
          <a:ext cx="1666800" cy="152400"/>
        </a:xfrm>
        <a:prstGeom prst="rect">
          <a:avLst/>
        </a:prstGeom>
        <a:noFill/>
        <a:ln w="127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lang="de-AT" sz="1100"/>
        </a:p>
      </xdr:txBody>
    </xdr:sp>
    <xdr:clientData/>
  </xdr:twoCellAnchor>
  <xdr:twoCellAnchor>
    <xdr:from>
      <xdr:col>2</xdr:col>
      <xdr:colOff>3810000</xdr:colOff>
      <xdr:row>59</xdr:row>
      <xdr:rowOff>114300</xdr:rowOff>
    </xdr:from>
    <xdr:to>
      <xdr:col>3</xdr:col>
      <xdr:colOff>647700</xdr:colOff>
      <xdr:row>60</xdr:row>
      <xdr:rowOff>95250</xdr:rowOff>
    </xdr:to>
    <xdr:sp macro="" textlink="">
      <xdr:nvSpPr>
        <xdr:cNvPr id="9" name="Rechteck 8"/>
        <xdr:cNvSpPr/>
      </xdr:nvSpPr>
      <xdr:spPr bwMode="auto">
        <a:xfrm>
          <a:off x="6610350" y="16211550"/>
          <a:ext cx="1695450" cy="142875"/>
        </a:xfrm>
        <a:prstGeom prst="rect">
          <a:avLst/>
        </a:prstGeom>
        <a:noFill/>
        <a:ln w="127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lang="de-AT" sz="1100"/>
        </a:p>
      </xdr:txBody>
    </xdr:sp>
    <xdr:clientData/>
  </xdr:twoCellAnchor>
  <xdr:twoCellAnchor>
    <xdr:from>
      <xdr:col>2</xdr:col>
      <xdr:colOff>3819525</xdr:colOff>
      <xdr:row>62</xdr:row>
      <xdr:rowOff>9525</xdr:rowOff>
    </xdr:from>
    <xdr:to>
      <xdr:col>3</xdr:col>
      <xdr:colOff>628650</xdr:colOff>
      <xdr:row>63</xdr:row>
      <xdr:rowOff>0</xdr:rowOff>
    </xdr:to>
    <xdr:sp macro="" textlink="">
      <xdr:nvSpPr>
        <xdr:cNvPr id="12" name="Rechteck 11"/>
        <xdr:cNvSpPr/>
      </xdr:nvSpPr>
      <xdr:spPr bwMode="auto">
        <a:xfrm>
          <a:off x="6619875" y="16592550"/>
          <a:ext cx="1666875" cy="152400"/>
        </a:xfrm>
        <a:prstGeom prst="rect">
          <a:avLst/>
        </a:prstGeom>
        <a:noFill/>
        <a:ln w="127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lang="de-AT" sz="1100"/>
        </a:p>
      </xdr:txBody>
    </xdr:sp>
    <xdr:clientData/>
  </xdr:twoCellAnchor>
  <xdr:twoCellAnchor>
    <xdr:from>
      <xdr:col>2</xdr:col>
      <xdr:colOff>3800475</xdr:colOff>
      <xdr:row>50</xdr:row>
      <xdr:rowOff>0</xdr:rowOff>
    </xdr:from>
    <xdr:to>
      <xdr:col>3</xdr:col>
      <xdr:colOff>609525</xdr:colOff>
      <xdr:row>50</xdr:row>
      <xdr:rowOff>152399</xdr:rowOff>
    </xdr:to>
    <xdr:sp macro="" textlink="">
      <xdr:nvSpPr>
        <xdr:cNvPr id="13" name="Rechteck 12"/>
        <xdr:cNvSpPr/>
      </xdr:nvSpPr>
      <xdr:spPr bwMode="auto">
        <a:xfrm>
          <a:off x="6600825" y="14639925"/>
          <a:ext cx="1666800" cy="152399"/>
        </a:xfrm>
        <a:prstGeom prst="rect">
          <a:avLst/>
        </a:prstGeom>
        <a:noFill/>
        <a:ln w="127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lang="de-AT" sz="1100"/>
        </a:p>
      </xdr:txBody>
    </xdr:sp>
    <xdr:clientData/>
  </xdr:twoCellAnchor>
  <xdr:twoCellAnchor>
    <xdr:from>
      <xdr:col>2</xdr:col>
      <xdr:colOff>295275</xdr:colOff>
      <xdr:row>40</xdr:row>
      <xdr:rowOff>142874</xdr:rowOff>
    </xdr:from>
    <xdr:to>
      <xdr:col>2</xdr:col>
      <xdr:colOff>1971675</xdr:colOff>
      <xdr:row>41</xdr:row>
      <xdr:rowOff>85725</xdr:rowOff>
    </xdr:to>
    <xdr:sp macro="" textlink="">
      <xdr:nvSpPr>
        <xdr:cNvPr id="16" name="Rechteck 15"/>
        <xdr:cNvSpPr/>
      </xdr:nvSpPr>
      <xdr:spPr bwMode="auto">
        <a:xfrm>
          <a:off x="3095625" y="13020674"/>
          <a:ext cx="1676400" cy="152401"/>
        </a:xfrm>
        <a:prstGeom prst="rect">
          <a:avLst/>
        </a:prstGeom>
        <a:noFill/>
        <a:ln w="127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lang="de-AT" sz="1100"/>
        </a:p>
      </xdr:txBody>
    </xdr:sp>
    <xdr:clientData/>
  </xdr:twoCellAnchor>
  <xdr:twoCellAnchor>
    <xdr:from>
      <xdr:col>2</xdr:col>
      <xdr:colOff>304800</xdr:colOff>
      <xdr:row>43</xdr:row>
      <xdr:rowOff>123824</xdr:rowOff>
    </xdr:from>
    <xdr:to>
      <xdr:col>2</xdr:col>
      <xdr:colOff>1981200</xdr:colOff>
      <xdr:row>44</xdr:row>
      <xdr:rowOff>114300</xdr:rowOff>
    </xdr:to>
    <xdr:sp macro="" textlink="">
      <xdr:nvSpPr>
        <xdr:cNvPr id="17" name="Rechteck 16"/>
        <xdr:cNvSpPr/>
      </xdr:nvSpPr>
      <xdr:spPr bwMode="auto">
        <a:xfrm>
          <a:off x="3105150" y="13630274"/>
          <a:ext cx="1676400" cy="152401"/>
        </a:xfrm>
        <a:prstGeom prst="rect">
          <a:avLst/>
        </a:prstGeom>
        <a:noFill/>
        <a:ln w="127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lang="de-AT" sz="1100"/>
        </a:p>
      </xdr:txBody>
    </xdr:sp>
    <xdr:clientData/>
  </xdr:twoCellAnchor>
  <xdr:twoCellAnchor>
    <xdr:from>
      <xdr:col>3</xdr:col>
      <xdr:colOff>647699</xdr:colOff>
      <xdr:row>46</xdr:row>
      <xdr:rowOff>114299</xdr:rowOff>
    </xdr:from>
    <xdr:to>
      <xdr:col>4</xdr:col>
      <xdr:colOff>1390650</xdr:colOff>
      <xdr:row>49</xdr:row>
      <xdr:rowOff>114299</xdr:rowOff>
    </xdr:to>
    <xdr:sp macro="" textlink="">
      <xdr:nvSpPr>
        <xdr:cNvPr id="15" name="Textfeld 14"/>
        <xdr:cNvSpPr txBox="1"/>
      </xdr:nvSpPr>
      <xdr:spPr>
        <a:xfrm>
          <a:off x="8305799" y="14411324"/>
          <a:ext cx="1752601"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1100"/>
            <a:t>Referenz-Reizwärmebedarf</a:t>
          </a:r>
          <a:br>
            <a:rPr lang="de-AT" sz="1100"/>
          </a:br>
          <a:r>
            <a:rPr lang="de-AT" sz="1100"/>
            <a:t>Heizwärmebedarf</a:t>
          </a:r>
        </a:p>
        <a:p>
          <a:endParaRPr lang="de-AT" sz="1100" i="1"/>
        </a:p>
      </xdr:txBody>
    </xdr:sp>
    <xdr:clientData/>
  </xdr:twoCellAnchor>
  <xdr:twoCellAnchor>
    <xdr:from>
      <xdr:col>3</xdr:col>
      <xdr:colOff>647700</xdr:colOff>
      <xdr:row>48</xdr:row>
      <xdr:rowOff>133350</xdr:rowOff>
    </xdr:from>
    <xdr:to>
      <xdr:col>4</xdr:col>
      <xdr:colOff>847725</xdr:colOff>
      <xdr:row>50</xdr:row>
      <xdr:rowOff>38100</xdr:rowOff>
    </xdr:to>
    <xdr:sp macro="" textlink="">
      <xdr:nvSpPr>
        <xdr:cNvPr id="18" name="Textfeld 17"/>
        <xdr:cNvSpPr txBox="1"/>
      </xdr:nvSpPr>
      <xdr:spPr>
        <a:xfrm>
          <a:off x="8305800" y="14449425"/>
          <a:ext cx="12096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1100"/>
            <a:t>Endenergiebedarf</a:t>
          </a:r>
        </a:p>
        <a:p>
          <a:endParaRPr lang="de-AT" sz="1100" i="1"/>
        </a:p>
      </xdr:txBody>
    </xdr:sp>
    <xdr:clientData/>
  </xdr:twoCellAnchor>
  <xdr:twoCellAnchor>
    <xdr:from>
      <xdr:col>3</xdr:col>
      <xdr:colOff>647700</xdr:colOff>
      <xdr:row>59</xdr:row>
      <xdr:rowOff>38100</xdr:rowOff>
    </xdr:from>
    <xdr:to>
      <xdr:col>4</xdr:col>
      <xdr:colOff>1171575</xdr:colOff>
      <xdr:row>60</xdr:row>
      <xdr:rowOff>85725</xdr:rowOff>
    </xdr:to>
    <xdr:sp macro="" textlink="">
      <xdr:nvSpPr>
        <xdr:cNvPr id="19" name="Textfeld 18"/>
        <xdr:cNvSpPr txBox="1"/>
      </xdr:nvSpPr>
      <xdr:spPr>
        <a:xfrm>
          <a:off x="8305800" y="16135350"/>
          <a:ext cx="15335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1100"/>
            <a:t>Primärenergiebedarf</a:t>
          </a:r>
        </a:p>
        <a:p>
          <a:endParaRPr lang="de-AT" sz="1100" i="1"/>
        </a:p>
      </xdr:txBody>
    </xdr:sp>
    <xdr:clientData/>
  </xdr:twoCellAnchor>
  <xdr:twoCellAnchor>
    <xdr:from>
      <xdr:col>3</xdr:col>
      <xdr:colOff>657225</xdr:colOff>
      <xdr:row>61</xdr:row>
      <xdr:rowOff>114300</xdr:rowOff>
    </xdr:from>
    <xdr:to>
      <xdr:col>4</xdr:col>
      <xdr:colOff>857250</xdr:colOff>
      <xdr:row>63</xdr:row>
      <xdr:rowOff>19050</xdr:rowOff>
    </xdr:to>
    <xdr:sp macro="" textlink="">
      <xdr:nvSpPr>
        <xdr:cNvPr id="20" name="Textfeld 19"/>
        <xdr:cNvSpPr txBox="1"/>
      </xdr:nvSpPr>
      <xdr:spPr>
        <a:xfrm>
          <a:off x="8315325" y="16535400"/>
          <a:ext cx="12096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1100"/>
            <a:t>CO2-Emissionen</a:t>
          </a:r>
        </a:p>
        <a:p>
          <a:endParaRPr lang="de-AT" sz="1100" i="1"/>
        </a:p>
      </xdr:txBody>
    </xdr:sp>
    <xdr:clientData/>
  </xdr:twoCellAnchor>
  <xdr:twoCellAnchor>
    <xdr:from>
      <xdr:col>3</xdr:col>
      <xdr:colOff>647700</xdr:colOff>
      <xdr:row>49</xdr:row>
      <xdr:rowOff>123825</xdr:rowOff>
    </xdr:from>
    <xdr:to>
      <xdr:col>5</xdr:col>
      <xdr:colOff>19050</xdr:colOff>
      <xdr:row>51</xdr:row>
      <xdr:rowOff>28575</xdr:rowOff>
    </xdr:to>
    <xdr:sp macro="" textlink="">
      <xdr:nvSpPr>
        <xdr:cNvPr id="21" name="Textfeld 20"/>
        <xdr:cNvSpPr txBox="1"/>
      </xdr:nvSpPr>
      <xdr:spPr>
        <a:xfrm>
          <a:off x="8305800" y="14601825"/>
          <a:ext cx="19716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1100"/>
            <a:t>Gesamtenergieeffizienz-Faktor</a:t>
          </a:r>
        </a:p>
        <a:p>
          <a:endParaRPr lang="de-AT" sz="1100" i="1"/>
        </a:p>
      </xdr:txBody>
    </xdr:sp>
    <xdr:clientData/>
  </xdr:twoCellAnchor>
  <xdr:twoCellAnchor>
    <xdr:from>
      <xdr:col>3</xdr:col>
      <xdr:colOff>371475</xdr:colOff>
      <xdr:row>48</xdr:row>
      <xdr:rowOff>28575</xdr:rowOff>
    </xdr:from>
    <xdr:to>
      <xdr:col>4</xdr:col>
      <xdr:colOff>1104900</xdr:colOff>
      <xdr:row>48</xdr:row>
      <xdr:rowOff>28575</xdr:rowOff>
    </xdr:to>
    <xdr:cxnSp macro="">
      <xdr:nvCxnSpPr>
        <xdr:cNvPr id="36" name="Gerade Verbindung 35"/>
        <xdr:cNvCxnSpPr/>
      </xdr:nvCxnSpPr>
      <xdr:spPr bwMode="auto">
        <a:xfrm>
          <a:off x="8029575" y="14344650"/>
          <a:ext cx="1743075" cy="0"/>
        </a:xfrm>
        <a:prstGeom prst="line">
          <a:avLst/>
        </a:prstGeom>
        <a:ln>
          <a:solidFill>
            <a:srgbClr val="FF0000"/>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104775</xdr:colOff>
      <xdr:row>50</xdr:row>
      <xdr:rowOff>0</xdr:rowOff>
    </xdr:from>
    <xdr:to>
      <xdr:col>4</xdr:col>
      <xdr:colOff>1114425</xdr:colOff>
      <xdr:row>50</xdr:row>
      <xdr:rowOff>0</xdr:rowOff>
    </xdr:to>
    <xdr:cxnSp macro="">
      <xdr:nvCxnSpPr>
        <xdr:cNvPr id="37" name="Gerade Verbindung 36"/>
        <xdr:cNvCxnSpPr/>
      </xdr:nvCxnSpPr>
      <xdr:spPr bwMode="auto">
        <a:xfrm>
          <a:off x="7762875" y="14639925"/>
          <a:ext cx="2019300" cy="0"/>
        </a:xfrm>
        <a:prstGeom prst="line">
          <a:avLst/>
        </a:prstGeom>
        <a:ln>
          <a:solidFill>
            <a:srgbClr val="FF0000"/>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428625</xdr:colOff>
      <xdr:row>60</xdr:row>
      <xdr:rowOff>95250</xdr:rowOff>
    </xdr:from>
    <xdr:to>
      <xdr:col>4</xdr:col>
      <xdr:colOff>1162050</xdr:colOff>
      <xdr:row>60</xdr:row>
      <xdr:rowOff>95250</xdr:rowOff>
    </xdr:to>
    <xdr:cxnSp macro="">
      <xdr:nvCxnSpPr>
        <xdr:cNvPr id="38" name="Gerade Verbindung 37"/>
        <xdr:cNvCxnSpPr/>
      </xdr:nvCxnSpPr>
      <xdr:spPr bwMode="auto">
        <a:xfrm>
          <a:off x="8086725" y="16354425"/>
          <a:ext cx="1743075" cy="0"/>
        </a:xfrm>
        <a:prstGeom prst="line">
          <a:avLst/>
        </a:prstGeom>
        <a:ln>
          <a:solidFill>
            <a:srgbClr val="FF0000"/>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428625</xdr:colOff>
      <xdr:row>63</xdr:row>
      <xdr:rowOff>0</xdr:rowOff>
    </xdr:from>
    <xdr:to>
      <xdr:col>4</xdr:col>
      <xdr:colOff>1162050</xdr:colOff>
      <xdr:row>63</xdr:row>
      <xdr:rowOff>0</xdr:rowOff>
    </xdr:to>
    <xdr:cxnSp macro="">
      <xdr:nvCxnSpPr>
        <xdr:cNvPr id="39" name="Gerade Verbindung 38"/>
        <xdr:cNvCxnSpPr/>
      </xdr:nvCxnSpPr>
      <xdr:spPr bwMode="auto">
        <a:xfrm>
          <a:off x="8086725" y="16744950"/>
          <a:ext cx="1743075" cy="0"/>
        </a:xfrm>
        <a:prstGeom prst="line">
          <a:avLst/>
        </a:prstGeom>
        <a:ln>
          <a:solidFill>
            <a:srgbClr val="FF0000"/>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533400</xdr:colOff>
      <xdr:row>50</xdr:row>
      <xdr:rowOff>152400</xdr:rowOff>
    </xdr:from>
    <xdr:to>
      <xdr:col>4</xdr:col>
      <xdr:colOff>1104900</xdr:colOff>
      <xdr:row>50</xdr:row>
      <xdr:rowOff>152400</xdr:rowOff>
    </xdr:to>
    <xdr:cxnSp macro="">
      <xdr:nvCxnSpPr>
        <xdr:cNvPr id="40" name="Gerade Verbindung 39"/>
        <xdr:cNvCxnSpPr/>
      </xdr:nvCxnSpPr>
      <xdr:spPr bwMode="auto">
        <a:xfrm>
          <a:off x="8191500" y="14792325"/>
          <a:ext cx="1581150" cy="0"/>
        </a:xfrm>
        <a:prstGeom prst="line">
          <a:avLst/>
        </a:prstGeom>
        <a:ln>
          <a:solidFill>
            <a:srgbClr val="FF0000"/>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3629025</xdr:colOff>
      <xdr:row>35</xdr:row>
      <xdr:rowOff>133350</xdr:rowOff>
    </xdr:from>
    <xdr:to>
      <xdr:col>3</xdr:col>
      <xdr:colOff>628650</xdr:colOff>
      <xdr:row>38</xdr:row>
      <xdr:rowOff>180975</xdr:rowOff>
    </xdr:to>
    <xdr:sp macro="" textlink="">
      <xdr:nvSpPr>
        <xdr:cNvPr id="53" name="Textfeld 52"/>
        <xdr:cNvSpPr txBox="1"/>
      </xdr:nvSpPr>
      <xdr:spPr>
        <a:xfrm>
          <a:off x="6429375" y="11963400"/>
          <a:ext cx="1857375" cy="676275"/>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de-AT" sz="3400">
              <a:solidFill>
                <a:srgbClr val="FF0000"/>
              </a:solidFill>
            </a:rPr>
            <a:t>MUSTER!</a:t>
          </a:r>
        </a:p>
      </xdr:txBody>
    </xdr:sp>
    <xdr:clientData/>
  </xdr:twoCellAnchor>
  <xdr:twoCellAnchor editAs="oneCell">
    <xdr:from>
      <xdr:col>4</xdr:col>
      <xdr:colOff>706534</xdr:colOff>
      <xdr:row>0</xdr:row>
      <xdr:rowOff>0</xdr:rowOff>
    </xdr:from>
    <xdr:to>
      <xdr:col>5</xdr:col>
      <xdr:colOff>762</xdr:colOff>
      <xdr:row>2</xdr:row>
      <xdr:rowOff>9525</xdr:rowOff>
    </xdr:to>
    <xdr:pic>
      <xdr:nvPicPr>
        <xdr:cNvPr id="56" name="Grafik 55" descr="ET CMYK 35mmText_links.jpg"/>
        <xdr:cNvPicPr>
          <a:picLocks noChangeAspect="1"/>
        </xdr:cNvPicPr>
      </xdr:nvPicPr>
      <xdr:blipFill>
        <a:blip xmlns:r="http://schemas.openxmlformats.org/officeDocument/2006/relationships" r:embed="rId2" cstate="print"/>
        <a:srcRect l="47630" b="2655"/>
        <a:stretch>
          <a:fillRect/>
        </a:stretch>
      </xdr:blipFill>
      <xdr:spPr>
        <a:xfrm>
          <a:off x="9374284" y="0"/>
          <a:ext cx="884903" cy="876300"/>
        </a:xfrm>
        <a:prstGeom prst="rect">
          <a:avLst/>
        </a:prstGeom>
      </xdr:spPr>
    </xdr:pic>
    <xdr:clientData/>
  </xdr:twoCellAnchor>
  <xdr:twoCellAnchor>
    <xdr:from>
      <xdr:col>0</xdr:col>
      <xdr:colOff>200024</xdr:colOff>
      <xdr:row>65</xdr:row>
      <xdr:rowOff>85725</xdr:rowOff>
    </xdr:from>
    <xdr:to>
      <xdr:col>4</xdr:col>
      <xdr:colOff>1266825</xdr:colOff>
      <xdr:row>66</xdr:row>
      <xdr:rowOff>133350</xdr:rowOff>
    </xdr:to>
    <xdr:sp macro="" textlink="">
      <xdr:nvSpPr>
        <xdr:cNvPr id="57" name="Text 6"/>
        <xdr:cNvSpPr txBox="1">
          <a:spLocks noChangeArrowheads="1"/>
        </xdr:cNvSpPr>
      </xdr:nvSpPr>
      <xdr:spPr bwMode="auto">
        <a:xfrm>
          <a:off x="200024" y="15582900"/>
          <a:ext cx="9734551" cy="209550"/>
        </a:xfrm>
        <a:prstGeom prst="rect">
          <a:avLst/>
        </a:prstGeom>
        <a:solidFill>
          <a:srgbClr val="FFFFFF"/>
        </a:solidFill>
        <a:ln w="1">
          <a:noFill/>
          <a:miter lim="800000"/>
          <a:headEnd/>
          <a:tailEnd/>
        </a:ln>
      </xdr:spPr>
      <xdr:txBody>
        <a:bodyPr vertOverflow="clip" wrap="square" lIns="36576" tIns="27432" rIns="36576" bIns="0" anchor="t" upright="1"/>
        <a:lstStyle/>
        <a:p>
          <a:pPr algn="l" rtl="0">
            <a:defRPr sz="1000"/>
          </a:pPr>
          <a:r>
            <a:rPr lang="de-DE" sz="1200" b="1" i="0" strike="noStrike">
              <a:solidFill>
                <a:srgbClr val="000000"/>
              </a:solidFill>
              <a:latin typeface="Arial"/>
              <a:cs typeface="Arial"/>
            </a:rPr>
            <a:t>Für Fragen zum Programm steht Ihnen ENERGIE TIROL  zur Verfügung:</a:t>
          </a:r>
        </a:p>
        <a:p>
          <a:pPr algn="ctr" rtl="0">
            <a:defRPr sz="1000"/>
          </a:pPr>
          <a:endParaRPr lang="de-DE" sz="400" b="1" i="0" strike="noStrike">
            <a:solidFill>
              <a:srgbClr val="000000"/>
            </a:solidFill>
            <a:latin typeface="Arial"/>
            <a:cs typeface="Arial"/>
          </a:endParaRPr>
        </a:p>
      </xdr:txBody>
    </xdr:sp>
    <xdr:clientData/>
  </xdr:twoCellAnchor>
  <xdr:twoCellAnchor editAs="oneCell">
    <xdr:from>
      <xdr:col>1</xdr:col>
      <xdr:colOff>9525</xdr:colOff>
      <xdr:row>67</xdr:row>
      <xdr:rowOff>28575</xdr:rowOff>
    </xdr:from>
    <xdr:to>
      <xdr:col>2</xdr:col>
      <xdr:colOff>57150</xdr:colOff>
      <xdr:row>71</xdr:row>
      <xdr:rowOff>132831</xdr:rowOff>
    </xdr:to>
    <xdr:pic>
      <xdr:nvPicPr>
        <xdr:cNvPr id="34" name="Grafik 33" descr="ET 4C_17mmText_rechts.jpg"/>
        <xdr:cNvPicPr>
          <a:picLocks noChangeAspect="1"/>
        </xdr:cNvPicPr>
      </xdr:nvPicPr>
      <xdr:blipFill>
        <a:blip xmlns:r="http://schemas.openxmlformats.org/officeDocument/2006/relationships" r:embed="rId3" cstate="print"/>
        <a:stretch>
          <a:fillRect/>
        </a:stretch>
      </xdr:blipFill>
      <xdr:spPr>
        <a:xfrm>
          <a:off x="238125" y="15849600"/>
          <a:ext cx="2619375" cy="751956"/>
        </a:xfrm>
        <a:prstGeom prst="rect">
          <a:avLst/>
        </a:prstGeom>
      </xdr:spPr>
    </xdr:pic>
    <xdr:clientData/>
  </xdr:twoCellAnchor>
  <xdr:twoCellAnchor>
    <xdr:from>
      <xdr:col>2</xdr:col>
      <xdr:colOff>3800475</xdr:colOff>
      <xdr:row>47</xdr:row>
      <xdr:rowOff>28575</xdr:rowOff>
    </xdr:from>
    <xdr:to>
      <xdr:col>3</xdr:col>
      <xdr:colOff>609525</xdr:colOff>
      <xdr:row>48</xdr:row>
      <xdr:rowOff>28575</xdr:rowOff>
    </xdr:to>
    <xdr:sp macro="" textlink="">
      <xdr:nvSpPr>
        <xdr:cNvPr id="33" name="Rechteck 32"/>
        <xdr:cNvSpPr/>
      </xdr:nvSpPr>
      <xdr:spPr bwMode="auto">
        <a:xfrm>
          <a:off x="6600825" y="14182725"/>
          <a:ext cx="1666800" cy="161925"/>
        </a:xfrm>
        <a:prstGeom prst="rect">
          <a:avLst/>
        </a:prstGeom>
        <a:noFill/>
        <a:ln w="127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lang="de-AT" sz="1100"/>
        </a:p>
      </xdr:txBody>
    </xdr:sp>
    <xdr:clientData/>
  </xdr:twoCellAnchor>
  <xdr:twoCellAnchor>
    <xdr:from>
      <xdr:col>3</xdr:col>
      <xdr:colOff>371475</xdr:colOff>
      <xdr:row>49</xdr:row>
      <xdr:rowOff>9525</xdr:rowOff>
    </xdr:from>
    <xdr:to>
      <xdr:col>4</xdr:col>
      <xdr:colOff>1104900</xdr:colOff>
      <xdr:row>49</xdr:row>
      <xdr:rowOff>9525</xdr:rowOff>
    </xdr:to>
    <xdr:cxnSp macro="">
      <xdr:nvCxnSpPr>
        <xdr:cNvPr id="42" name="Gerade Verbindung 35"/>
        <xdr:cNvCxnSpPr/>
      </xdr:nvCxnSpPr>
      <xdr:spPr bwMode="auto">
        <a:xfrm>
          <a:off x="8029575" y="14487525"/>
          <a:ext cx="1743075" cy="0"/>
        </a:xfrm>
        <a:prstGeom prst="line">
          <a:avLst/>
        </a:prstGeom>
        <a:ln>
          <a:solidFill>
            <a:srgbClr val="FF0000"/>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76200</xdr:colOff>
      <xdr:row>10</xdr:row>
      <xdr:rowOff>0</xdr:rowOff>
    </xdr:from>
    <xdr:to>
      <xdr:col>4</xdr:col>
      <xdr:colOff>0</xdr:colOff>
      <xdr:row>10</xdr:row>
      <xdr:rowOff>0</xdr:rowOff>
    </xdr:to>
    <xdr:grpSp>
      <xdr:nvGrpSpPr>
        <xdr:cNvPr id="16" name="Group 231"/>
        <xdr:cNvGrpSpPr>
          <a:grpSpLocks/>
        </xdr:cNvGrpSpPr>
      </xdr:nvGrpSpPr>
      <xdr:grpSpPr bwMode="auto">
        <a:xfrm>
          <a:off x="381000" y="2066925"/>
          <a:ext cx="3667125" cy="0"/>
          <a:chOff x="35" y="538"/>
          <a:chExt cx="187" cy="23"/>
        </a:xfrm>
      </xdr:grpSpPr>
      <xdr:sp macro="" textlink="">
        <xdr:nvSpPr>
          <xdr:cNvPr id="17" name="Text Box 230"/>
          <xdr:cNvSpPr txBox="1">
            <a:spLocks noChangeArrowheads="1"/>
          </xdr:cNvSpPr>
        </xdr:nvSpPr>
        <xdr:spPr bwMode="auto">
          <a:xfrm>
            <a:off x="65" y="539"/>
            <a:ext cx="157"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Zubau</a:t>
            </a:r>
          </a:p>
        </xdr:txBody>
      </xdr:sp>
    </xdr:grpSp>
    <xdr:clientData/>
  </xdr:twoCellAnchor>
  <xdr:twoCellAnchor>
    <xdr:from>
      <xdr:col>0</xdr:col>
      <xdr:colOff>0</xdr:colOff>
      <xdr:row>35</xdr:row>
      <xdr:rowOff>171450</xdr:rowOff>
    </xdr:from>
    <xdr:to>
      <xdr:col>3</xdr:col>
      <xdr:colOff>57150</xdr:colOff>
      <xdr:row>37</xdr:row>
      <xdr:rowOff>85725</xdr:rowOff>
    </xdr:to>
    <xdr:sp macro="" textlink="">
      <xdr:nvSpPr>
        <xdr:cNvPr id="4" name="Textfeld 3">
          <a:hlinkClick xmlns:r="http://schemas.openxmlformats.org/officeDocument/2006/relationships" r:id="rId1"/>
        </xdr:cNvPr>
        <xdr:cNvSpPr txBox="1"/>
      </xdr:nvSpPr>
      <xdr:spPr>
        <a:xfrm>
          <a:off x="0" y="7086600"/>
          <a:ext cx="24193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de-AT" sz="1000" u="sng">
              <a:solidFill>
                <a:srgbClr val="0060A8"/>
              </a:solidFill>
              <a:latin typeface="Arial" pitchFamily="34" charset="0"/>
              <a:cs typeface="Arial" pitchFamily="34" charset="0"/>
            </a:rPr>
            <a:t>Link zum aktuellen Energiepreismonitor</a:t>
          </a:r>
        </a:p>
      </xdr:txBody>
    </xdr:sp>
    <xdr:clientData/>
  </xdr:twoCellAnchor>
  <xdr:twoCellAnchor editAs="oneCell">
    <xdr:from>
      <xdr:col>7</xdr:col>
      <xdr:colOff>1050180</xdr:colOff>
      <xdr:row>0</xdr:row>
      <xdr:rowOff>0</xdr:rowOff>
    </xdr:from>
    <xdr:to>
      <xdr:col>7</xdr:col>
      <xdr:colOff>1685002</xdr:colOff>
      <xdr:row>2</xdr:row>
      <xdr:rowOff>0</xdr:rowOff>
    </xdr:to>
    <xdr:pic>
      <xdr:nvPicPr>
        <xdr:cNvPr id="5" name="Grafik 4" descr="ET CMYK 35mmText_links.jpg"/>
        <xdr:cNvPicPr>
          <a:picLocks noChangeAspect="1"/>
        </xdr:cNvPicPr>
      </xdr:nvPicPr>
      <xdr:blipFill>
        <a:blip xmlns:r="http://schemas.openxmlformats.org/officeDocument/2006/relationships" r:embed="rId2" cstate="print"/>
        <a:srcRect l="47630" b="2655"/>
        <a:stretch>
          <a:fillRect/>
        </a:stretch>
      </xdr:blipFill>
      <xdr:spPr>
        <a:xfrm>
          <a:off x="7241430" y="0"/>
          <a:ext cx="634822" cy="6286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1714500</xdr:colOff>
          <xdr:row>16</xdr:row>
          <xdr:rowOff>9525</xdr:rowOff>
        </xdr:from>
        <xdr:to>
          <xdr:col>4</xdr:col>
          <xdr:colOff>0</xdr:colOff>
          <xdr:row>17</xdr:row>
          <xdr:rowOff>0</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0</xdr:rowOff>
        </xdr:from>
        <xdr:to>
          <xdr:col>6</xdr:col>
          <xdr:colOff>9525</xdr:colOff>
          <xdr:row>17</xdr:row>
          <xdr:rowOff>0</xdr:rowOff>
        </xdr:to>
        <xdr:sp macro="" textlink="">
          <xdr:nvSpPr>
            <xdr:cNvPr id="4098" name="Drop Down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17</xdr:row>
          <xdr:rowOff>0</xdr:rowOff>
        </xdr:to>
        <xdr:sp macro="" textlink="">
          <xdr:nvSpPr>
            <xdr:cNvPr id="4099" name="Drop Down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85725</xdr:rowOff>
        </xdr:from>
        <xdr:to>
          <xdr:col>7</xdr:col>
          <xdr:colOff>0</xdr:colOff>
          <xdr:row>28</xdr:row>
          <xdr:rowOff>180975</xdr:rowOff>
        </xdr:to>
        <xdr:sp macro="" textlink="">
          <xdr:nvSpPr>
            <xdr:cNvPr id="4100" name="Drop Down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xdr:col>
      <xdr:colOff>200025</xdr:colOff>
      <xdr:row>9</xdr:row>
      <xdr:rowOff>19050</xdr:rowOff>
    </xdr:from>
    <xdr:to>
      <xdr:col>7</xdr:col>
      <xdr:colOff>304800</xdr:colOff>
      <xdr:row>35</xdr:row>
      <xdr:rowOff>76200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323849</xdr:colOff>
      <xdr:row>0</xdr:row>
      <xdr:rowOff>0</xdr:rowOff>
    </xdr:from>
    <xdr:to>
      <xdr:col>7</xdr:col>
      <xdr:colOff>1018252</xdr:colOff>
      <xdr:row>2</xdr:row>
      <xdr:rowOff>11377</xdr:rowOff>
    </xdr:to>
    <xdr:pic>
      <xdr:nvPicPr>
        <xdr:cNvPr id="4" name="Grafik 3" descr="ET CMYK 35mmText_links.jpg"/>
        <xdr:cNvPicPr>
          <a:picLocks noChangeAspect="1"/>
        </xdr:cNvPicPr>
      </xdr:nvPicPr>
      <xdr:blipFill>
        <a:blip xmlns:r="http://schemas.openxmlformats.org/officeDocument/2006/relationships" r:embed="rId2" cstate="print"/>
        <a:srcRect l="47630" b="2655"/>
        <a:stretch>
          <a:fillRect/>
        </a:stretch>
      </xdr:blipFill>
      <xdr:spPr>
        <a:xfrm>
          <a:off x="8058149" y="0"/>
          <a:ext cx="694403" cy="687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295274</xdr:colOff>
      <xdr:row>199</xdr:row>
      <xdr:rowOff>114300</xdr:rowOff>
    </xdr:from>
    <xdr:to>
      <xdr:col>3</xdr:col>
      <xdr:colOff>876300</xdr:colOff>
      <xdr:row>207</xdr:row>
      <xdr:rowOff>161925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942975</xdr:colOff>
      <xdr:row>2</xdr:row>
      <xdr:rowOff>28576</xdr:rowOff>
    </xdr:from>
    <xdr:to>
      <xdr:col>7</xdr:col>
      <xdr:colOff>1009649</xdr:colOff>
      <xdr:row>7</xdr:row>
      <xdr:rowOff>38100</xdr:rowOff>
    </xdr:to>
    <xdr:sp macro="" textlink="">
      <xdr:nvSpPr>
        <xdr:cNvPr id="3" name="Text Box 2"/>
        <xdr:cNvSpPr txBox="1">
          <a:spLocks noChangeArrowheads="1"/>
        </xdr:cNvSpPr>
      </xdr:nvSpPr>
      <xdr:spPr bwMode="auto">
        <a:xfrm>
          <a:off x="4848225" y="714376"/>
          <a:ext cx="2762249" cy="111442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Einlaufstempel</a:t>
          </a:r>
        </a:p>
      </xdr:txBody>
    </xdr:sp>
    <xdr:clientData/>
  </xdr:twoCellAnchor>
  <xdr:twoCellAnchor>
    <xdr:from>
      <xdr:col>2</xdr:col>
      <xdr:colOff>28575</xdr:colOff>
      <xdr:row>39</xdr:row>
      <xdr:rowOff>15477</xdr:rowOff>
    </xdr:from>
    <xdr:to>
      <xdr:col>8</xdr:col>
      <xdr:colOff>0</xdr:colOff>
      <xdr:row>40</xdr:row>
      <xdr:rowOff>468</xdr:rowOff>
    </xdr:to>
    <xdr:grpSp>
      <xdr:nvGrpSpPr>
        <xdr:cNvPr id="4" name="Group 284"/>
        <xdr:cNvGrpSpPr>
          <a:grpSpLocks/>
        </xdr:cNvGrpSpPr>
      </xdr:nvGrpSpPr>
      <xdr:grpSpPr bwMode="auto">
        <a:xfrm>
          <a:off x="619125" y="8416527"/>
          <a:ext cx="7019925" cy="194541"/>
          <a:chOff x="44" y="562"/>
          <a:chExt cx="181" cy="10"/>
        </a:xfrm>
      </xdr:grpSpPr>
      <xdr:sp macro="" textlink="">
        <xdr:nvSpPr>
          <xdr:cNvPr id="5" name="Text Box 18"/>
          <xdr:cNvSpPr txBox="1">
            <a:spLocks noChangeArrowheads="1"/>
          </xdr:cNvSpPr>
        </xdr:nvSpPr>
        <xdr:spPr bwMode="auto">
          <a:xfrm>
            <a:off x="44" y="562"/>
            <a:ext cx="181" cy="1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Energieversorgungssystem auf der Grundlage von Energie aus erneuerbaren Quellen</a:t>
            </a:r>
          </a:p>
        </xdr:txBody>
      </xdr:sp>
    </xdr:grpSp>
    <xdr:clientData/>
  </xdr:twoCellAnchor>
  <xdr:twoCellAnchor>
    <xdr:from>
      <xdr:col>2</xdr:col>
      <xdr:colOff>12245</xdr:colOff>
      <xdr:row>46</xdr:row>
      <xdr:rowOff>30</xdr:rowOff>
    </xdr:from>
    <xdr:to>
      <xdr:col>7</xdr:col>
      <xdr:colOff>1038223</xdr:colOff>
      <xdr:row>47</xdr:row>
      <xdr:rowOff>46413</xdr:rowOff>
    </xdr:to>
    <xdr:grpSp>
      <xdr:nvGrpSpPr>
        <xdr:cNvPr id="6" name="Group 20"/>
        <xdr:cNvGrpSpPr>
          <a:grpSpLocks/>
        </xdr:cNvGrpSpPr>
      </xdr:nvGrpSpPr>
      <xdr:grpSpPr bwMode="auto">
        <a:xfrm>
          <a:off x="602795" y="9639330"/>
          <a:ext cx="7036253" cy="255933"/>
          <a:chOff x="53" y="466"/>
          <a:chExt cx="222" cy="6"/>
        </a:xfrm>
      </xdr:grpSpPr>
      <xdr:sp macro="" textlink="">
        <xdr:nvSpPr>
          <xdr:cNvPr id="7" name="Text Box 21"/>
          <xdr:cNvSpPr txBox="1">
            <a:spLocks noChangeArrowheads="1"/>
          </xdr:cNvSpPr>
        </xdr:nvSpPr>
        <xdr:spPr bwMode="auto">
          <a:xfrm>
            <a:off x="53" y="466"/>
            <a:ext cx="222" cy="6"/>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Fern- oder Nahwärmesystem aus erneuerbaren Quellen</a:t>
            </a:r>
          </a:p>
        </xdr:txBody>
      </xdr:sp>
    </xdr:grpSp>
    <xdr:clientData/>
  </xdr:twoCellAnchor>
  <xdr:twoCellAnchor>
    <xdr:from>
      <xdr:col>2</xdr:col>
      <xdr:colOff>49708</xdr:colOff>
      <xdr:row>48</xdr:row>
      <xdr:rowOff>95240</xdr:rowOff>
    </xdr:from>
    <xdr:to>
      <xdr:col>8</xdr:col>
      <xdr:colOff>19050</xdr:colOff>
      <xdr:row>49</xdr:row>
      <xdr:rowOff>203173</xdr:rowOff>
    </xdr:to>
    <xdr:grpSp>
      <xdr:nvGrpSpPr>
        <xdr:cNvPr id="8" name="Group 23"/>
        <xdr:cNvGrpSpPr>
          <a:grpSpLocks/>
        </xdr:cNvGrpSpPr>
      </xdr:nvGrpSpPr>
      <xdr:grpSpPr bwMode="auto">
        <a:xfrm>
          <a:off x="640258" y="10153640"/>
          <a:ext cx="6998792" cy="203183"/>
          <a:chOff x="42" y="628"/>
          <a:chExt cx="190" cy="6"/>
        </a:xfrm>
      </xdr:grpSpPr>
      <xdr:sp macro="" textlink="">
        <xdr:nvSpPr>
          <xdr:cNvPr id="9" name="Text Box 24"/>
          <xdr:cNvSpPr txBox="1">
            <a:spLocks noChangeArrowheads="1"/>
          </xdr:cNvSpPr>
        </xdr:nvSpPr>
        <xdr:spPr bwMode="auto">
          <a:xfrm>
            <a:off x="42" y="628"/>
            <a:ext cx="190" cy="6"/>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Kraft-Wärme-Kopplungsanlage</a:t>
            </a:r>
          </a:p>
        </xdr:txBody>
      </xdr:sp>
    </xdr:grpSp>
    <xdr:clientData/>
  </xdr:twoCellAnchor>
  <xdr:twoCellAnchor>
    <xdr:from>
      <xdr:col>7</xdr:col>
      <xdr:colOff>523875</xdr:colOff>
      <xdr:row>343</xdr:row>
      <xdr:rowOff>9525</xdr:rowOff>
    </xdr:from>
    <xdr:to>
      <xdr:col>7</xdr:col>
      <xdr:colOff>952500</xdr:colOff>
      <xdr:row>343</xdr:row>
      <xdr:rowOff>200025</xdr:rowOff>
    </xdr:to>
    <xdr:sp macro="" textlink="">
      <xdr:nvSpPr>
        <xdr:cNvPr id="10" name="Text Box 144"/>
        <xdr:cNvSpPr txBox="1">
          <a:spLocks noChangeArrowheads="1"/>
        </xdr:cNvSpPr>
      </xdr:nvSpPr>
      <xdr:spPr bwMode="auto">
        <a:xfrm>
          <a:off x="7115175" y="45443775"/>
          <a:ext cx="428625" cy="190500"/>
        </a:xfrm>
        <a:prstGeom prst="rect">
          <a:avLst/>
        </a:prstGeom>
        <a:noFill/>
        <a:ln w="9525">
          <a:noFill/>
          <a:miter lim="800000"/>
          <a:headEnd/>
          <a:tailEnd/>
        </a:ln>
      </xdr:spPr>
    </xdr:sp>
    <xdr:clientData/>
  </xdr:twoCellAnchor>
  <xdr:twoCellAnchor>
    <xdr:from>
      <xdr:col>7</xdr:col>
      <xdr:colOff>19050</xdr:colOff>
      <xdr:row>351</xdr:row>
      <xdr:rowOff>0</xdr:rowOff>
    </xdr:from>
    <xdr:to>
      <xdr:col>7</xdr:col>
      <xdr:colOff>447675</xdr:colOff>
      <xdr:row>351</xdr:row>
      <xdr:rowOff>0</xdr:rowOff>
    </xdr:to>
    <xdr:sp macro="" textlink="">
      <xdr:nvSpPr>
        <xdr:cNvPr id="11" name="Text Box 145"/>
        <xdr:cNvSpPr txBox="1">
          <a:spLocks noChangeArrowheads="1"/>
        </xdr:cNvSpPr>
      </xdr:nvSpPr>
      <xdr:spPr bwMode="auto">
        <a:xfrm>
          <a:off x="6610350" y="47720250"/>
          <a:ext cx="4286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AT" sz="1100" b="0" i="0" u="none" strike="noStrike" baseline="0">
              <a:solidFill>
                <a:srgbClr val="000000"/>
              </a:solidFill>
              <a:latin typeface="Arial"/>
              <a:cs typeface="Arial"/>
            </a:rPr>
            <a:t>0.20</a:t>
          </a:r>
        </a:p>
      </xdr:txBody>
    </xdr:sp>
    <xdr:clientData/>
  </xdr:twoCellAnchor>
  <xdr:twoCellAnchor>
    <xdr:from>
      <xdr:col>7</xdr:col>
      <xdr:colOff>19050</xdr:colOff>
      <xdr:row>358</xdr:row>
      <xdr:rowOff>0</xdr:rowOff>
    </xdr:from>
    <xdr:to>
      <xdr:col>7</xdr:col>
      <xdr:colOff>447675</xdr:colOff>
      <xdr:row>358</xdr:row>
      <xdr:rowOff>0</xdr:rowOff>
    </xdr:to>
    <xdr:sp macro="" textlink="">
      <xdr:nvSpPr>
        <xdr:cNvPr id="12" name="Text Box 150"/>
        <xdr:cNvSpPr txBox="1">
          <a:spLocks noChangeArrowheads="1"/>
        </xdr:cNvSpPr>
      </xdr:nvSpPr>
      <xdr:spPr bwMode="auto">
        <a:xfrm>
          <a:off x="6610350" y="49920525"/>
          <a:ext cx="4286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AT" sz="1100" b="0" i="0" u="none" strike="noStrike" baseline="0">
              <a:solidFill>
                <a:srgbClr val="000000"/>
              </a:solidFill>
              <a:latin typeface="Arial"/>
              <a:cs typeface="Arial"/>
            </a:rPr>
            <a:t>2.50</a:t>
          </a:r>
        </a:p>
      </xdr:txBody>
    </xdr:sp>
    <xdr:clientData/>
  </xdr:twoCellAnchor>
  <xdr:twoCellAnchor>
    <xdr:from>
      <xdr:col>7</xdr:col>
      <xdr:colOff>523875</xdr:colOff>
      <xdr:row>346</xdr:row>
      <xdr:rowOff>9525</xdr:rowOff>
    </xdr:from>
    <xdr:to>
      <xdr:col>7</xdr:col>
      <xdr:colOff>952500</xdr:colOff>
      <xdr:row>346</xdr:row>
      <xdr:rowOff>200025</xdr:rowOff>
    </xdr:to>
    <xdr:sp macro="" textlink="">
      <xdr:nvSpPr>
        <xdr:cNvPr id="13" name="Text Box 151"/>
        <xdr:cNvSpPr txBox="1">
          <a:spLocks noChangeArrowheads="1"/>
        </xdr:cNvSpPr>
      </xdr:nvSpPr>
      <xdr:spPr bwMode="auto">
        <a:xfrm>
          <a:off x="7115175" y="46072425"/>
          <a:ext cx="428625" cy="190500"/>
        </a:xfrm>
        <a:prstGeom prst="rect">
          <a:avLst/>
        </a:prstGeom>
        <a:noFill/>
        <a:ln w="9525">
          <a:noFill/>
          <a:miter lim="800000"/>
          <a:headEnd/>
          <a:tailEnd/>
        </a:ln>
      </xdr:spPr>
    </xdr:sp>
    <xdr:clientData/>
  </xdr:twoCellAnchor>
  <xdr:twoCellAnchor>
    <xdr:from>
      <xdr:col>7</xdr:col>
      <xdr:colOff>523875</xdr:colOff>
      <xdr:row>348</xdr:row>
      <xdr:rowOff>9525</xdr:rowOff>
    </xdr:from>
    <xdr:to>
      <xdr:col>7</xdr:col>
      <xdr:colOff>952500</xdr:colOff>
      <xdr:row>348</xdr:row>
      <xdr:rowOff>200025</xdr:rowOff>
    </xdr:to>
    <xdr:sp macro="" textlink="">
      <xdr:nvSpPr>
        <xdr:cNvPr id="14" name="Text Box 152"/>
        <xdr:cNvSpPr txBox="1">
          <a:spLocks noChangeArrowheads="1"/>
        </xdr:cNvSpPr>
      </xdr:nvSpPr>
      <xdr:spPr bwMode="auto">
        <a:xfrm>
          <a:off x="7115175" y="46634400"/>
          <a:ext cx="428625" cy="190500"/>
        </a:xfrm>
        <a:prstGeom prst="rect">
          <a:avLst/>
        </a:prstGeom>
        <a:noFill/>
        <a:ln w="9525">
          <a:noFill/>
          <a:miter lim="800000"/>
          <a:headEnd/>
          <a:tailEnd/>
        </a:ln>
      </xdr:spPr>
    </xdr:sp>
    <xdr:clientData/>
  </xdr:twoCellAnchor>
  <xdr:twoCellAnchor>
    <xdr:from>
      <xdr:col>7</xdr:col>
      <xdr:colOff>523875</xdr:colOff>
      <xdr:row>349</xdr:row>
      <xdr:rowOff>9525</xdr:rowOff>
    </xdr:from>
    <xdr:to>
      <xdr:col>7</xdr:col>
      <xdr:colOff>952500</xdr:colOff>
      <xdr:row>349</xdr:row>
      <xdr:rowOff>200025</xdr:rowOff>
    </xdr:to>
    <xdr:sp macro="" textlink="">
      <xdr:nvSpPr>
        <xdr:cNvPr id="15" name="Text Box 153"/>
        <xdr:cNvSpPr txBox="1">
          <a:spLocks noChangeArrowheads="1"/>
        </xdr:cNvSpPr>
      </xdr:nvSpPr>
      <xdr:spPr bwMode="auto">
        <a:xfrm>
          <a:off x="7115175" y="46996350"/>
          <a:ext cx="428625" cy="190500"/>
        </a:xfrm>
        <a:prstGeom prst="rect">
          <a:avLst/>
        </a:prstGeom>
        <a:noFill/>
        <a:ln w="9525">
          <a:noFill/>
          <a:miter lim="800000"/>
          <a:headEnd/>
          <a:tailEnd/>
        </a:ln>
      </xdr:spPr>
    </xdr:sp>
    <xdr:clientData/>
  </xdr:twoCellAnchor>
  <xdr:twoCellAnchor>
    <xdr:from>
      <xdr:col>7</xdr:col>
      <xdr:colOff>523875</xdr:colOff>
      <xdr:row>351</xdr:row>
      <xdr:rowOff>0</xdr:rowOff>
    </xdr:from>
    <xdr:to>
      <xdr:col>7</xdr:col>
      <xdr:colOff>952500</xdr:colOff>
      <xdr:row>351</xdr:row>
      <xdr:rowOff>0</xdr:rowOff>
    </xdr:to>
    <xdr:sp macro="" textlink="">
      <xdr:nvSpPr>
        <xdr:cNvPr id="16" name="Text Box 154"/>
        <xdr:cNvSpPr txBox="1">
          <a:spLocks noChangeArrowheads="1"/>
        </xdr:cNvSpPr>
      </xdr:nvSpPr>
      <xdr:spPr bwMode="auto">
        <a:xfrm>
          <a:off x="7115175" y="47720250"/>
          <a:ext cx="428625" cy="0"/>
        </a:xfrm>
        <a:prstGeom prst="rect">
          <a:avLst/>
        </a:prstGeom>
        <a:noFill/>
        <a:ln w="9525">
          <a:noFill/>
          <a:miter lim="800000"/>
          <a:headEnd/>
          <a:tailEnd/>
        </a:ln>
      </xdr:spPr>
    </xdr:sp>
    <xdr:clientData/>
  </xdr:twoCellAnchor>
  <xdr:twoCellAnchor>
    <xdr:from>
      <xdr:col>7</xdr:col>
      <xdr:colOff>523875</xdr:colOff>
      <xdr:row>352</xdr:row>
      <xdr:rowOff>9525</xdr:rowOff>
    </xdr:from>
    <xdr:to>
      <xdr:col>7</xdr:col>
      <xdr:colOff>952500</xdr:colOff>
      <xdr:row>352</xdr:row>
      <xdr:rowOff>200025</xdr:rowOff>
    </xdr:to>
    <xdr:sp macro="" textlink="">
      <xdr:nvSpPr>
        <xdr:cNvPr id="17" name="Text Box 155"/>
        <xdr:cNvSpPr txBox="1">
          <a:spLocks noChangeArrowheads="1"/>
        </xdr:cNvSpPr>
      </xdr:nvSpPr>
      <xdr:spPr bwMode="auto">
        <a:xfrm>
          <a:off x="7115175" y="48034575"/>
          <a:ext cx="428625" cy="190500"/>
        </a:xfrm>
        <a:prstGeom prst="rect">
          <a:avLst/>
        </a:prstGeom>
        <a:noFill/>
        <a:ln w="9525">
          <a:noFill/>
          <a:miter lim="800000"/>
          <a:headEnd/>
          <a:tailEnd/>
        </a:ln>
      </xdr:spPr>
    </xdr:sp>
    <xdr:clientData/>
  </xdr:twoCellAnchor>
  <xdr:twoCellAnchor>
    <xdr:from>
      <xdr:col>7</xdr:col>
      <xdr:colOff>523875</xdr:colOff>
      <xdr:row>354</xdr:row>
      <xdr:rowOff>9525</xdr:rowOff>
    </xdr:from>
    <xdr:to>
      <xdr:col>7</xdr:col>
      <xdr:colOff>952500</xdr:colOff>
      <xdr:row>354</xdr:row>
      <xdr:rowOff>200025</xdr:rowOff>
    </xdr:to>
    <xdr:sp macro="" textlink="">
      <xdr:nvSpPr>
        <xdr:cNvPr id="18" name="Text Box 156"/>
        <xdr:cNvSpPr txBox="1">
          <a:spLocks noChangeArrowheads="1"/>
        </xdr:cNvSpPr>
      </xdr:nvSpPr>
      <xdr:spPr bwMode="auto">
        <a:xfrm>
          <a:off x="7115175" y="48729900"/>
          <a:ext cx="428625" cy="190500"/>
        </a:xfrm>
        <a:prstGeom prst="rect">
          <a:avLst/>
        </a:prstGeom>
        <a:noFill/>
        <a:ln w="9525">
          <a:noFill/>
          <a:miter lim="800000"/>
          <a:headEnd/>
          <a:tailEnd/>
        </a:ln>
      </xdr:spPr>
    </xdr:sp>
    <xdr:clientData/>
  </xdr:twoCellAnchor>
  <xdr:twoCellAnchor>
    <xdr:from>
      <xdr:col>7</xdr:col>
      <xdr:colOff>523875</xdr:colOff>
      <xdr:row>356</xdr:row>
      <xdr:rowOff>9525</xdr:rowOff>
    </xdr:from>
    <xdr:to>
      <xdr:col>7</xdr:col>
      <xdr:colOff>952500</xdr:colOff>
      <xdr:row>356</xdr:row>
      <xdr:rowOff>200025</xdr:rowOff>
    </xdr:to>
    <xdr:sp macro="" textlink="">
      <xdr:nvSpPr>
        <xdr:cNvPr id="19" name="Text Box 157"/>
        <xdr:cNvSpPr txBox="1">
          <a:spLocks noChangeArrowheads="1"/>
        </xdr:cNvSpPr>
      </xdr:nvSpPr>
      <xdr:spPr bwMode="auto">
        <a:xfrm>
          <a:off x="7115175" y="49568100"/>
          <a:ext cx="428625" cy="161925"/>
        </a:xfrm>
        <a:prstGeom prst="rect">
          <a:avLst/>
        </a:prstGeom>
        <a:noFill/>
        <a:ln w="9525">
          <a:noFill/>
          <a:miter lim="800000"/>
          <a:headEnd/>
          <a:tailEnd/>
        </a:ln>
      </xdr:spPr>
    </xdr:sp>
    <xdr:clientData/>
  </xdr:twoCellAnchor>
  <xdr:twoCellAnchor>
    <xdr:from>
      <xdr:col>7</xdr:col>
      <xdr:colOff>523875</xdr:colOff>
      <xdr:row>357</xdr:row>
      <xdr:rowOff>9525</xdr:rowOff>
    </xdr:from>
    <xdr:to>
      <xdr:col>7</xdr:col>
      <xdr:colOff>952500</xdr:colOff>
      <xdr:row>357</xdr:row>
      <xdr:rowOff>200025</xdr:rowOff>
    </xdr:to>
    <xdr:sp macro="" textlink="">
      <xdr:nvSpPr>
        <xdr:cNvPr id="20" name="Text Box 158"/>
        <xdr:cNvSpPr txBox="1">
          <a:spLocks noChangeArrowheads="1"/>
        </xdr:cNvSpPr>
      </xdr:nvSpPr>
      <xdr:spPr bwMode="auto">
        <a:xfrm>
          <a:off x="7115175" y="49739550"/>
          <a:ext cx="428625" cy="180975"/>
        </a:xfrm>
        <a:prstGeom prst="rect">
          <a:avLst/>
        </a:prstGeom>
        <a:noFill/>
        <a:ln w="9525">
          <a:noFill/>
          <a:miter lim="800000"/>
          <a:headEnd/>
          <a:tailEnd/>
        </a:ln>
      </xdr:spPr>
    </xdr:sp>
    <xdr:clientData/>
  </xdr:twoCellAnchor>
  <xdr:twoCellAnchor>
    <xdr:from>
      <xdr:col>7</xdr:col>
      <xdr:colOff>523875</xdr:colOff>
      <xdr:row>358</xdr:row>
      <xdr:rowOff>0</xdr:rowOff>
    </xdr:from>
    <xdr:to>
      <xdr:col>7</xdr:col>
      <xdr:colOff>952500</xdr:colOff>
      <xdr:row>358</xdr:row>
      <xdr:rowOff>0</xdr:rowOff>
    </xdr:to>
    <xdr:sp macro="" textlink="">
      <xdr:nvSpPr>
        <xdr:cNvPr id="21" name="Text Box 159"/>
        <xdr:cNvSpPr txBox="1">
          <a:spLocks noChangeArrowheads="1"/>
        </xdr:cNvSpPr>
      </xdr:nvSpPr>
      <xdr:spPr bwMode="auto">
        <a:xfrm>
          <a:off x="7115175" y="49920525"/>
          <a:ext cx="428625" cy="0"/>
        </a:xfrm>
        <a:prstGeom prst="rect">
          <a:avLst/>
        </a:prstGeom>
        <a:noFill/>
        <a:ln w="9525">
          <a:noFill/>
          <a:miter lim="800000"/>
          <a:headEnd/>
          <a:tailEnd/>
        </a:ln>
      </xdr:spPr>
    </xdr:sp>
    <xdr:clientData/>
  </xdr:twoCellAnchor>
  <xdr:twoCellAnchor>
    <xdr:from>
      <xdr:col>7</xdr:col>
      <xdr:colOff>523875</xdr:colOff>
      <xdr:row>358</xdr:row>
      <xdr:rowOff>0</xdr:rowOff>
    </xdr:from>
    <xdr:to>
      <xdr:col>7</xdr:col>
      <xdr:colOff>952500</xdr:colOff>
      <xdr:row>358</xdr:row>
      <xdr:rowOff>0</xdr:rowOff>
    </xdr:to>
    <xdr:sp macro="" textlink="">
      <xdr:nvSpPr>
        <xdr:cNvPr id="22" name="Text Box 160"/>
        <xdr:cNvSpPr txBox="1">
          <a:spLocks noChangeArrowheads="1"/>
        </xdr:cNvSpPr>
      </xdr:nvSpPr>
      <xdr:spPr bwMode="auto">
        <a:xfrm>
          <a:off x="7115175" y="49920525"/>
          <a:ext cx="428625" cy="0"/>
        </a:xfrm>
        <a:prstGeom prst="rect">
          <a:avLst/>
        </a:prstGeom>
        <a:noFill/>
        <a:ln w="9525">
          <a:noFill/>
          <a:miter lim="800000"/>
          <a:headEnd/>
          <a:tailEnd/>
        </a:ln>
      </xdr:spPr>
    </xdr:sp>
    <xdr:clientData/>
  </xdr:twoCellAnchor>
  <xdr:twoCellAnchor>
    <xdr:from>
      <xdr:col>7</xdr:col>
      <xdr:colOff>457200</xdr:colOff>
      <xdr:row>338</xdr:row>
      <xdr:rowOff>200025</xdr:rowOff>
    </xdr:from>
    <xdr:to>
      <xdr:col>8</xdr:col>
      <xdr:colOff>0</xdr:colOff>
      <xdr:row>342</xdr:row>
      <xdr:rowOff>19050</xdr:rowOff>
    </xdr:to>
    <xdr:sp macro="" textlink="">
      <xdr:nvSpPr>
        <xdr:cNvPr id="23" name="Text Box 166"/>
        <xdr:cNvSpPr txBox="1">
          <a:spLocks noChangeArrowheads="1"/>
        </xdr:cNvSpPr>
      </xdr:nvSpPr>
      <xdr:spPr bwMode="auto">
        <a:xfrm>
          <a:off x="7048500" y="44681775"/>
          <a:ext cx="581025" cy="561975"/>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de-AT" sz="1000" b="0" i="0" u="none" strike="noStrike" baseline="0">
            <a:solidFill>
              <a:srgbClr val="000000"/>
            </a:solidFill>
            <a:latin typeface="Arial Narrow"/>
          </a:endParaRPr>
        </a:p>
        <a:p>
          <a:pPr algn="ctr" rtl="0">
            <a:defRPr sz="1000"/>
          </a:pPr>
          <a:endParaRPr lang="de-AT" sz="1000" b="0" i="0" u="none" strike="noStrike" baseline="0">
            <a:solidFill>
              <a:srgbClr val="000000"/>
            </a:solidFill>
            <a:latin typeface="Arial Narrow"/>
          </a:endParaRPr>
        </a:p>
      </xdr:txBody>
    </xdr:sp>
    <xdr:clientData/>
  </xdr:twoCellAnchor>
  <xdr:twoCellAnchor>
    <xdr:from>
      <xdr:col>2</xdr:col>
      <xdr:colOff>133163</xdr:colOff>
      <xdr:row>18</xdr:row>
      <xdr:rowOff>0</xdr:rowOff>
    </xdr:from>
    <xdr:to>
      <xdr:col>3</xdr:col>
      <xdr:colOff>318534</xdr:colOff>
      <xdr:row>19</xdr:row>
      <xdr:rowOff>0</xdr:rowOff>
    </xdr:to>
    <xdr:grpSp>
      <xdr:nvGrpSpPr>
        <xdr:cNvPr id="24" name="Group 186"/>
        <xdr:cNvGrpSpPr>
          <a:grpSpLocks/>
        </xdr:cNvGrpSpPr>
      </xdr:nvGrpSpPr>
      <xdr:grpSpPr bwMode="auto">
        <a:xfrm>
          <a:off x="723713" y="4476750"/>
          <a:ext cx="1252171" cy="209550"/>
          <a:chOff x="60" y="495"/>
          <a:chExt cx="102" cy="22"/>
        </a:xfrm>
      </xdr:grpSpPr>
      <xdr:sp macro="" textlink="">
        <xdr:nvSpPr>
          <xdr:cNvPr id="25" name="Text Box 4"/>
          <xdr:cNvSpPr txBox="1">
            <a:spLocks noChangeArrowheads="1"/>
          </xdr:cNvSpPr>
        </xdr:nvSpPr>
        <xdr:spPr bwMode="auto">
          <a:xfrm>
            <a:off x="60" y="495"/>
            <a:ext cx="102"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Neubau</a:t>
            </a:r>
          </a:p>
        </xdr:txBody>
      </xdr:sp>
    </xdr:grpSp>
    <xdr:clientData/>
  </xdr:twoCellAnchor>
  <xdr:twoCellAnchor>
    <xdr:from>
      <xdr:col>2</xdr:col>
      <xdr:colOff>126270</xdr:colOff>
      <xdr:row>19</xdr:row>
      <xdr:rowOff>0</xdr:rowOff>
    </xdr:from>
    <xdr:to>
      <xdr:col>5</xdr:col>
      <xdr:colOff>448795</xdr:colOff>
      <xdr:row>20</xdr:row>
      <xdr:rowOff>9525</xdr:rowOff>
    </xdr:to>
    <xdr:grpSp>
      <xdr:nvGrpSpPr>
        <xdr:cNvPr id="26" name="Group 225"/>
        <xdr:cNvGrpSpPr>
          <a:grpSpLocks/>
        </xdr:cNvGrpSpPr>
      </xdr:nvGrpSpPr>
      <xdr:grpSpPr bwMode="auto">
        <a:xfrm>
          <a:off x="716820" y="4686300"/>
          <a:ext cx="3637225" cy="219075"/>
          <a:chOff x="281" y="378"/>
          <a:chExt cx="311" cy="23"/>
        </a:xfrm>
      </xdr:grpSpPr>
      <xdr:sp macro="" textlink="">
        <xdr:nvSpPr>
          <xdr:cNvPr id="27" name="Text Box 227"/>
          <xdr:cNvSpPr txBox="1">
            <a:spLocks noChangeArrowheads="1"/>
          </xdr:cNvSpPr>
        </xdr:nvSpPr>
        <xdr:spPr bwMode="auto">
          <a:xfrm>
            <a:off x="281" y="378"/>
            <a:ext cx="311" cy="23"/>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größere Renovierung (über 25% der Gebäudehülle)</a:t>
            </a:r>
          </a:p>
        </xdr:txBody>
      </xdr:sp>
    </xdr:grpSp>
    <xdr:clientData/>
  </xdr:twoCellAnchor>
  <xdr:twoCellAnchor>
    <xdr:from>
      <xdr:col>1</xdr:col>
      <xdr:colOff>76200</xdr:colOff>
      <xdr:row>19</xdr:row>
      <xdr:rowOff>200025</xdr:rowOff>
    </xdr:from>
    <xdr:to>
      <xdr:col>3</xdr:col>
      <xdr:colOff>885825</xdr:colOff>
      <xdr:row>20</xdr:row>
      <xdr:rowOff>0</xdr:rowOff>
    </xdr:to>
    <xdr:grpSp>
      <xdr:nvGrpSpPr>
        <xdr:cNvPr id="28" name="Group 231"/>
        <xdr:cNvGrpSpPr>
          <a:grpSpLocks/>
        </xdr:cNvGrpSpPr>
      </xdr:nvGrpSpPr>
      <xdr:grpSpPr bwMode="auto">
        <a:xfrm>
          <a:off x="400050" y="4886325"/>
          <a:ext cx="2143125" cy="9525"/>
          <a:chOff x="35" y="538"/>
          <a:chExt cx="187" cy="23"/>
        </a:xfrm>
      </xdr:grpSpPr>
      <xdr:sp macro="" textlink="">
        <xdr:nvSpPr>
          <xdr:cNvPr id="29" name="Text Box 230"/>
          <xdr:cNvSpPr txBox="1">
            <a:spLocks noChangeArrowheads="1"/>
          </xdr:cNvSpPr>
        </xdr:nvSpPr>
        <xdr:spPr bwMode="auto">
          <a:xfrm>
            <a:off x="65" y="539"/>
            <a:ext cx="157"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Zubau</a:t>
            </a:r>
          </a:p>
        </xdr:txBody>
      </xdr:sp>
    </xdr:grpSp>
    <xdr:clientData/>
  </xdr:twoCellAnchor>
  <xdr:twoCellAnchor>
    <xdr:from>
      <xdr:col>4</xdr:col>
      <xdr:colOff>76200</xdr:colOff>
      <xdr:row>20</xdr:row>
      <xdr:rowOff>0</xdr:rowOff>
    </xdr:from>
    <xdr:to>
      <xdr:col>5</xdr:col>
      <xdr:colOff>857250</xdr:colOff>
      <xdr:row>20</xdr:row>
      <xdr:rowOff>9525</xdr:rowOff>
    </xdr:to>
    <xdr:grpSp>
      <xdr:nvGrpSpPr>
        <xdr:cNvPr id="30" name="Group 241"/>
        <xdr:cNvGrpSpPr>
          <a:grpSpLocks/>
        </xdr:cNvGrpSpPr>
      </xdr:nvGrpSpPr>
      <xdr:grpSpPr bwMode="auto">
        <a:xfrm>
          <a:off x="2895600" y="4895850"/>
          <a:ext cx="1866900" cy="9525"/>
          <a:chOff x="250" y="400"/>
          <a:chExt cx="184" cy="23"/>
        </a:xfrm>
      </xdr:grpSpPr>
      <xdr:sp macro="" textlink="">
        <xdr:nvSpPr>
          <xdr:cNvPr id="31" name="Text Box 242"/>
          <xdr:cNvSpPr txBox="1">
            <a:spLocks noChangeArrowheads="1"/>
          </xdr:cNvSpPr>
        </xdr:nvSpPr>
        <xdr:spPr bwMode="auto">
          <a:xfrm>
            <a:off x="280" y="400"/>
            <a:ext cx="154"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Sonstige Änderungen:</a:t>
            </a:r>
          </a:p>
        </xdr:txBody>
      </xdr:sp>
    </xdr:grpSp>
    <xdr:clientData/>
  </xdr:twoCellAnchor>
  <xdr:twoCellAnchor>
    <xdr:from>
      <xdr:col>5</xdr:col>
      <xdr:colOff>488841</xdr:colOff>
      <xdr:row>18</xdr:row>
      <xdr:rowOff>209547</xdr:rowOff>
    </xdr:from>
    <xdr:to>
      <xdr:col>6</xdr:col>
      <xdr:colOff>19050</xdr:colOff>
      <xdr:row>19</xdr:row>
      <xdr:rowOff>171450</xdr:rowOff>
    </xdr:to>
    <xdr:grpSp>
      <xdr:nvGrpSpPr>
        <xdr:cNvPr id="32" name="Group 247"/>
        <xdr:cNvGrpSpPr>
          <a:grpSpLocks/>
        </xdr:cNvGrpSpPr>
      </xdr:nvGrpSpPr>
      <xdr:grpSpPr bwMode="auto">
        <a:xfrm>
          <a:off x="4394091" y="4686297"/>
          <a:ext cx="1092309" cy="171453"/>
          <a:chOff x="55" y="539"/>
          <a:chExt cx="358" cy="22"/>
        </a:xfrm>
      </xdr:grpSpPr>
      <xdr:sp macro="" textlink="">
        <xdr:nvSpPr>
          <xdr:cNvPr id="33" name="Text Box 249"/>
          <xdr:cNvSpPr txBox="1">
            <a:spLocks noChangeArrowheads="1"/>
          </xdr:cNvSpPr>
        </xdr:nvSpPr>
        <xdr:spPr bwMode="auto">
          <a:xfrm>
            <a:off x="55" y="539"/>
            <a:ext cx="358"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Umbau</a:t>
            </a:r>
          </a:p>
        </xdr:txBody>
      </xdr:sp>
    </xdr:grpSp>
    <xdr:clientData/>
  </xdr:twoCellAnchor>
  <xdr:twoCellAnchor>
    <xdr:from>
      <xdr:col>2</xdr:col>
      <xdr:colOff>116756</xdr:colOff>
      <xdr:row>21</xdr:row>
      <xdr:rowOff>323850</xdr:rowOff>
    </xdr:from>
    <xdr:to>
      <xdr:col>3</xdr:col>
      <xdr:colOff>916254</xdr:colOff>
      <xdr:row>22</xdr:row>
      <xdr:rowOff>142875</xdr:rowOff>
    </xdr:to>
    <xdr:grpSp>
      <xdr:nvGrpSpPr>
        <xdr:cNvPr id="34" name="Group 284"/>
        <xdr:cNvGrpSpPr>
          <a:grpSpLocks/>
        </xdr:cNvGrpSpPr>
      </xdr:nvGrpSpPr>
      <xdr:grpSpPr bwMode="auto">
        <a:xfrm>
          <a:off x="707306" y="5314950"/>
          <a:ext cx="1866298" cy="209550"/>
          <a:chOff x="60" y="563"/>
          <a:chExt cx="164" cy="22"/>
        </a:xfrm>
      </xdr:grpSpPr>
      <xdr:sp macro="" textlink="">
        <xdr:nvSpPr>
          <xdr:cNvPr id="35" name="Text Box 18"/>
          <xdr:cNvSpPr txBox="1">
            <a:spLocks noChangeArrowheads="1"/>
          </xdr:cNvSpPr>
        </xdr:nvSpPr>
        <xdr:spPr bwMode="auto">
          <a:xfrm>
            <a:off x="60" y="563"/>
            <a:ext cx="164"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Wohnung/Wohnhaus</a:t>
            </a:r>
          </a:p>
        </xdr:txBody>
      </xdr:sp>
    </xdr:grpSp>
    <xdr:clientData/>
  </xdr:twoCellAnchor>
  <xdr:twoCellAnchor>
    <xdr:from>
      <xdr:col>2</xdr:col>
      <xdr:colOff>118258</xdr:colOff>
      <xdr:row>22</xdr:row>
      <xdr:rowOff>171450</xdr:rowOff>
    </xdr:from>
    <xdr:to>
      <xdr:col>4</xdr:col>
      <xdr:colOff>311974</xdr:colOff>
      <xdr:row>23</xdr:row>
      <xdr:rowOff>171450</xdr:rowOff>
    </xdr:to>
    <xdr:grpSp>
      <xdr:nvGrpSpPr>
        <xdr:cNvPr id="36" name="Group 20"/>
        <xdr:cNvGrpSpPr>
          <a:grpSpLocks/>
        </xdr:cNvGrpSpPr>
      </xdr:nvGrpSpPr>
      <xdr:grpSpPr bwMode="auto">
        <a:xfrm>
          <a:off x="708808" y="5553075"/>
          <a:ext cx="2422566" cy="209550"/>
          <a:chOff x="70" y="466"/>
          <a:chExt cx="204" cy="22"/>
        </a:xfrm>
      </xdr:grpSpPr>
      <xdr:sp macro="" textlink="">
        <xdr:nvSpPr>
          <xdr:cNvPr id="37" name="Text Box 21"/>
          <xdr:cNvSpPr txBox="1">
            <a:spLocks noChangeArrowheads="1"/>
          </xdr:cNvSpPr>
        </xdr:nvSpPr>
        <xdr:spPr bwMode="auto">
          <a:xfrm>
            <a:off x="70" y="466"/>
            <a:ext cx="204"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Bürogebäude</a:t>
            </a:r>
          </a:p>
        </xdr:txBody>
      </xdr:sp>
    </xdr:grpSp>
    <xdr:clientData/>
  </xdr:twoCellAnchor>
  <xdr:twoCellAnchor>
    <xdr:from>
      <xdr:col>2</xdr:col>
      <xdr:colOff>115832</xdr:colOff>
      <xdr:row>23</xdr:row>
      <xdr:rowOff>200025</xdr:rowOff>
    </xdr:from>
    <xdr:to>
      <xdr:col>3</xdr:col>
      <xdr:colOff>1156594</xdr:colOff>
      <xdr:row>24</xdr:row>
      <xdr:rowOff>200025</xdr:rowOff>
    </xdr:to>
    <xdr:grpSp>
      <xdr:nvGrpSpPr>
        <xdr:cNvPr id="38" name="Group 23"/>
        <xdr:cNvGrpSpPr>
          <a:grpSpLocks/>
        </xdr:cNvGrpSpPr>
      </xdr:nvGrpSpPr>
      <xdr:grpSpPr bwMode="auto">
        <a:xfrm>
          <a:off x="706382" y="5791200"/>
          <a:ext cx="2107562" cy="209550"/>
          <a:chOff x="58" y="628"/>
          <a:chExt cx="172" cy="22"/>
        </a:xfrm>
      </xdr:grpSpPr>
      <xdr:sp macro="" textlink="">
        <xdr:nvSpPr>
          <xdr:cNvPr id="39" name="Text Box 24"/>
          <xdr:cNvSpPr txBox="1">
            <a:spLocks noChangeArrowheads="1"/>
          </xdr:cNvSpPr>
        </xdr:nvSpPr>
        <xdr:spPr bwMode="auto">
          <a:xfrm>
            <a:off x="58" y="628"/>
            <a:ext cx="172"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Schule</a:t>
            </a:r>
          </a:p>
        </xdr:txBody>
      </xdr:sp>
    </xdr:grpSp>
    <xdr:clientData/>
  </xdr:twoCellAnchor>
  <xdr:twoCellAnchor>
    <xdr:from>
      <xdr:col>2</xdr:col>
      <xdr:colOff>127400</xdr:colOff>
      <xdr:row>25</xdr:row>
      <xdr:rowOff>15764</xdr:rowOff>
    </xdr:from>
    <xdr:to>
      <xdr:col>3</xdr:col>
      <xdr:colOff>950911</xdr:colOff>
      <xdr:row>26</xdr:row>
      <xdr:rowOff>59662</xdr:rowOff>
    </xdr:to>
    <xdr:grpSp>
      <xdr:nvGrpSpPr>
        <xdr:cNvPr id="40" name="Group 285"/>
        <xdr:cNvGrpSpPr>
          <a:grpSpLocks/>
        </xdr:cNvGrpSpPr>
      </xdr:nvGrpSpPr>
      <xdr:grpSpPr bwMode="auto">
        <a:xfrm>
          <a:off x="717950" y="6026039"/>
          <a:ext cx="1890311" cy="253448"/>
          <a:chOff x="64" y="628"/>
          <a:chExt cx="163" cy="4"/>
        </a:xfrm>
      </xdr:grpSpPr>
      <xdr:sp macro="" textlink="">
        <xdr:nvSpPr>
          <xdr:cNvPr id="41" name="Text Box 27"/>
          <xdr:cNvSpPr txBox="1">
            <a:spLocks noChangeArrowheads="1"/>
          </xdr:cNvSpPr>
        </xdr:nvSpPr>
        <xdr:spPr bwMode="auto">
          <a:xfrm>
            <a:off x="64" y="628"/>
            <a:ext cx="163" cy="4"/>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Krankenhaus / Pflegeheim</a:t>
            </a:r>
          </a:p>
        </xdr:txBody>
      </xdr:sp>
    </xdr:grpSp>
    <xdr:clientData/>
  </xdr:twoCellAnchor>
  <xdr:twoCellAnchor>
    <xdr:from>
      <xdr:col>4</xdr:col>
      <xdr:colOff>399686</xdr:colOff>
      <xdr:row>21</xdr:row>
      <xdr:rowOff>323850</xdr:rowOff>
    </xdr:from>
    <xdr:to>
      <xdr:col>5</xdr:col>
      <xdr:colOff>352425</xdr:colOff>
      <xdr:row>22</xdr:row>
      <xdr:rowOff>171450</xdr:rowOff>
    </xdr:to>
    <xdr:grpSp>
      <xdr:nvGrpSpPr>
        <xdr:cNvPr id="42" name="Group 372"/>
        <xdr:cNvGrpSpPr>
          <a:grpSpLocks/>
        </xdr:cNvGrpSpPr>
      </xdr:nvGrpSpPr>
      <xdr:grpSpPr bwMode="auto">
        <a:xfrm>
          <a:off x="3219086" y="5314950"/>
          <a:ext cx="1038589" cy="238125"/>
          <a:chOff x="265" y="553"/>
          <a:chExt cx="337" cy="25"/>
        </a:xfrm>
      </xdr:grpSpPr>
      <xdr:sp macro="" textlink="">
        <xdr:nvSpPr>
          <xdr:cNvPr id="43" name="Text Box 30"/>
          <xdr:cNvSpPr txBox="1">
            <a:spLocks noChangeArrowheads="1"/>
          </xdr:cNvSpPr>
        </xdr:nvSpPr>
        <xdr:spPr bwMode="auto">
          <a:xfrm>
            <a:off x="265" y="553"/>
            <a:ext cx="337" cy="25"/>
          </a:xfrm>
          <a:prstGeom prst="rect">
            <a:avLst/>
          </a:prstGeom>
          <a:noFill/>
          <a:ln w="9525">
            <a:noFill/>
            <a:miter lim="800000"/>
            <a:headEnd/>
            <a:tailEnd/>
          </a:ln>
        </xdr:spPr>
        <xdr:txBody>
          <a:bodyPr vertOverflow="clip" wrap="square" lIns="27432" tIns="22860" rIns="0" bIns="0" anchor="t" upright="1"/>
          <a:lstStyle/>
          <a:p>
            <a:pPr rtl="0"/>
            <a:r>
              <a:rPr lang="de-AT" sz="1100" b="0" i="0" baseline="0">
                <a:effectLst/>
                <a:latin typeface="Arial" panose="020B0604020202020204" pitchFamily="34" charset="0"/>
                <a:ea typeface="+mn-ea"/>
                <a:cs typeface="Arial" panose="020B0604020202020204" pitchFamily="34" charset="0"/>
              </a:rPr>
              <a:t>Pension / Hotel</a:t>
            </a:r>
            <a:endParaRPr lang="en-GB">
              <a:effectLst/>
              <a:latin typeface="Arial" panose="020B0604020202020204" pitchFamily="34" charset="0"/>
              <a:cs typeface="Arial" panose="020B0604020202020204" pitchFamily="34" charset="0"/>
            </a:endParaRPr>
          </a:p>
        </xdr:txBody>
      </xdr:sp>
    </xdr:grpSp>
    <xdr:clientData/>
  </xdr:twoCellAnchor>
  <xdr:twoCellAnchor>
    <xdr:from>
      <xdr:col>4</xdr:col>
      <xdr:colOff>409282</xdr:colOff>
      <xdr:row>22</xdr:row>
      <xdr:rowOff>152400</xdr:rowOff>
    </xdr:from>
    <xdr:to>
      <xdr:col>6</xdr:col>
      <xdr:colOff>587839</xdr:colOff>
      <xdr:row>23</xdr:row>
      <xdr:rowOff>152400</xdr:rowOff>
    </xdr:to>
    <xdr:grpSp>
      <xdr:nvGrpSpPr>
        <xdr:cNvPr id="44" name="Group 32"/>
        <xdr:cNvGrpSpPr>
          <a:grpSpLocks/>
        </xdr:cNvGrpSpPr>
      </xdr:nvGrpSpPr>
      <xdr:grpSpPr bwMode="auto">
        <a:xfrm>
          <a:off x="3228682" y="5534025"/>
          <a:ext cx="2826507" cy="209550"/>
          <a:chOff x="265" y="466"/>
          <a:chExt cx="231" cy="22"/>
        </a:xfrm>
      </xdr:grpSpPr>
      <xdr:sp macro="" textlink="">
        <xdr:nvSpPr>
          <xdr:cNvPr id="45" name="Text Box 33"/>
          <xdr:cNvSpPr txBox="1">
            <a:spLocks noChangeArrowheads="1"/>
          </xdr:cNvSpPr>
        </xdr:nvSpPr>
        <xdr:spPr bwMode="auto">
          <a:xfrm>
            <a:off x="265" y="466"/>
            <a:ext cx="231"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Gast- / Verkaufsstätte</a:t>
            </a:r>
          </a:p>
        </xdr:txBody>
      </xdr:sp>
    </xdr:grpSp>
    <xdr:clientData/>
  </xdr:twoCellAnchor>
  <xdr:twoCellAnchor>
    <xdr:from>
      <xdr:col>4</xdr:col>
      <xdr:colOff>414992</xdr:colOff>
      <xdr:row>23</xdr:row>
      <xdr:rowOff>180975</xdr:rowOff>
    </xdr:from>
    <xdr:to>
      <xdr:col>6</xdr:col>
      <xdr:colOff>22639</xdr:colOff>
      <xdr:row>24</xdr:row>
      <xdr:rowOff>161925</xdr:rowOff>
    </xdr:to>
    <xdr:grpSp>
      <xdr:nvGrpSpPr>
        <xdr:cNvPr id="46" name="Group 251"/>
        <xdr:cNvGrpSpPr>
          <a:grpSpLocks/>
        </xdr:cNvGrpSpPr>
      </xdr:nvGrpSpPr>
      <xdr:grpSpPr bwMode="auto">
        <a:xfrm>
          <a:off x="3234392" y="5772150"/>
          <a:ext cx="2255597" cy="190500"/>
          <a:chOff x="264" y="649"/>
          <a:chExt cx="172" cy="20"/>
        </a:xfrm>
      </xdr:grpSpPr>
      <xdr:sp macro="" textlink="">
        <xdr:nvSpPr>
          <xdr:cNvPr id="47" name="Text Box 35"/>
          <xdr:cNvSpPr txBox="1">
            <a:spLocks noChangeArrowheads="1"/>
          </xdr:cNvSpPr>
        </xdr:nvSpPr>
        <xdr:spPr bwMode="auto">
          <a:xfrm>
            <a:off x="264" y="649"/>
            <a:ext cx="172" cy="2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Veranstaltungs- / Sportstätte</a:t>
            </a:r>
          </a:p>
        </xdr:txBody>
      </xdr:sp>
    </xdr:grpSp>
    <xdr:clientData/>
  </xdr:twoCellAnchor>
  <xdr:twoCellAnchor>
    <xdr:from>
      <xdr:col>4</xdr:col>
      <xdr:colOff>409465</xdr:colOff>
      <xdr:row>24</xdr:row>
      <xdr:rowOff>209512</xdr:rowOff>
    </xdr:from>
    <xdr:to>
      <xdr:col>5</xdr:col>
      <xdr:colOff>838201</xdr:colOff>
      <xdr:row>26</xdr:row>
      <xdr:rowOff>35577</xdr:rowOff>
    </xdr:to>
    <xdr:grpSp>
      <xdr:nvGrpSpPr>
        <xdr:cNvPr id="48" name="Group 169"/>
        <xdr:cNvGrpSpPr>
          <a:grpSpLocks/>
        </xdr:cNvGrpSpPr>
      </xdr:nvGrpSpPr>
      <xdr:grpSpPr bwMode="auto">
        <a:xfrm>
          <a:off x="3228865" y="6010237"/>
          <a:ext cx="1514586" cy="245165"/>
          <a:chOff x="249" y="693"/>
          <a:chExt cx="179" cy="4"/>
        </a:xfrm>
      </xdr:grpSpPr>
      <xdr:sp macro="" textlink="">
        <xdr:nvSpPr>
          <xdr:cNvPr id="49" name="Text Box 38"/>
          <xdr:cNvSpPr txBox="1">
            <a:spLocks noChangeArrowheads="1"/>
          </xdr:cNvSpPr>
        </xdr:nvSpPr>
        <xdr:spPr bwMode="auto">
          <a:xfrm>
            <a:off x="249" y="693"/>
            <a:ext cx="179" cy="4"/>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Sonstige Verwendung: </a:t>
            </a:r>
          </a:p>
        </xdr:txBody>
      </xdr:sp>
    </xdr:grpSp>
    <xdr:clientData/>
  </xdr:twoCellAnchor>
  <xdr:twoCellAnchor>
    <xdr:from>
      <xdr:col>2</xdr:col>
      <xdr:colOff>42964</xdr:colOff>
      <xdr:row>43</xdr:row>
      <xdr:rowOff>4493</xdr:rowOff>
    </xdr:from>
    <xdr:to>
      <xdr:col>7</xdr:col>
      <xdr:colOff>809623</xdr:colOff>
      <xdr:row>44</xdr:row>
      <xdr:rowOff>40522</xdr:rowOff>
    </xdr:to>
    <xdr:grpSp>
      <xdr:nvGrpSpPr>
        <xdr:cNvPr id="50" name="Group 20"/>
        <xdr:cNvGrpSpPr>
          <a:grpSpLocks/>
        </xdr:cNvGrpSpPr>
      </xdr:nvGrpSpPr>
      <xdr:grpSpPr bwMode="auto">
        <a:xfrm>
          <a:off x="633514" y="9129443"/>
          <a:ext cx="6776934" cy="245579"/>
          <a:chOff x="57" y="468"/>
          <a:chExt cx="218" cy="16"/>
        </a:xfrm>
      </xdr:grpSpPr>
      <xdr:sp macro="" textlink="">
        <xdr:nvSpPr>
          <xdr:cNvPr id="51" name="Text Box 21"/>
          <xdr:cNvSpPr txBox="1">
            <a:spLocks noChangeArrowheads="1"/>
          </xdr:cNvSpPr>
        </xdr:nvSpPr>
        <xdr:spPr bwMode="auto">
          <a:xfrm>
            <a:off x="57" y="468"/>
            <a:ext cx="218" cy="16"/>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Wärmepumpe </a:t>
            </a:r>
          </a:p>
        </xdr:txBody>
      </xdr:sp>
    </xdr:grpSp>
    <xdr:clientData/>
  </xdr:twoCellAnchor>
  <xdr:twoCellAnchor>
    <xdr:from>
      <xdr:col>2</xdr:col>
      <xdr:colOff>0</xdr:colOff>
      <xdr:row>52</xdr:row>
      <xdr:rowOff>0</xdr:rowOff>
    </xdr:from>
    <xdr:to>
      <xdr:col>7</xdr:col>
      <xdr:colOff>778967</xdr:colOff>
      <xdr:row>52</xdr:row>
      <xdr:rowOff>203183</xdr:rowOff>
    </xdr:to>
    <xdr:grpSp>
      <xdr:nvGrpSpPr>
        <xdr:cNvPr id="52" name="Group 23"/>
        <xdr:cNvGrpSpPr>
          <a:grpSpLocks/>
        </xdr:cNvGrpSpPr>
      </xdr:nvGrpSpPr>
      <xdr:grpSpPr bwMode="auto">
        <a:xfrm>
          <a:off x="590550" y="10668000"/>
          <a:ext cx="6789242" cy="203183"/>
          <a:chOff x="42" y="628"/>
          <a:chExt cx="190" cy="6"/>
        </a:xfrm>
      </xdr:grpSpPr>
      <xdr:sp macro="" textlink="">
        <xdr:nvSpPr>
          <xdr:cNvPr id="53" name="Text Box 24"/>
          <xdr:cNvSpPr txBox="1">
            <a:spLocks noChangeArrowheads="1"/>
          </xdr:cNvSpPr>
        </xdr:nvSpPr>
        <xdr:spPr bwMode="auto">
          <a:xfrm>
            <a:off x="42" y="628"/>
            <a:ext cx="190" cy="6"/>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Energieversorgungssystem auf der Grundlage von nicht erneuerbaren Energiequellen</a:t>
            </a:r>
          </a:p>
        </xdr:txBody>
      </xdr:sp>
    </xdr:grpSp>
    <xdr:clientData/>
  </xdr:twoCellAnchor>
  <xdr:twoCellAnchor>
    <xdr:from>
      <xdr:col>6</xdr:col>
      <xdr:colOff>400050</xdr:colOff>
      <xdr:row>18</xdr:row>
      <xdr:rowOff>190500</xdr:rowOff>
    </xdr:from>
    <xdr:to>
      <xdr:col>7</xdr:col>
      <xdr:colOff>904875</xdr:colOff>
      <xdr:row>20</xdr:row>
      <xdr:rowOff>38100</xdr:rowOff>
    </xdr:to>
    <xdr:grpSp>
      <xdr:nvGrpSpPr>
        <xdr:cNvPr id="54" name="Group 247"/>
        <xdr:cNvGrpSpPr>
          <a:grpSpLocks/>
        </xdr:cNvGrpSpPr>
      </xdr:nvGrpSpPr>
      <xdr:grpSpPr bwMode="auto">
        <a:xfrm>
          <a:off x="5867400" y="4667250"/>
          <a:ext cx="1638300" cy="266700"/>
          <a:chOff x="55" y="539"/>
          <a:chExt cx="358" cy="22"/>
        </a:xfrm>
      </xdr:grpSpPr>
      <xdr:sp macro="" textlink="">
        <xdr:nvSpPr>
          <xdr:cNvPr id="55" name="Text Box 249"/>
          <xdr:cNvSpPr txBox="1">
            <a:spLocks noChangeArrowheads="1"/>
          </xdr:cNvSpPr>
        </xdr:nvSpPr>
        <xdr:spPr bwMode="auto">
          <a:xfrm>
            <a:off x="55" y="539"/>
            <a:ext cx="358"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Zubau</a:t>
            </a:r>
          </a:p>
        </xdr:txBody>
      </xdr:sp>
    </xdr:grpSp>
    <xdr:clientData/>
  </xdr:twoCellAnchor>
  <xdr:twoCellAnchor>
    <xdr:from>
      <xdr:col>3</xdr:col>
      <xdr:colOff>1095374</xdr:colOff>
      <xdr:row>199</xdr:row>
      <xdr:rowOff>114300</xdr:rowOff>
    </xdr:from>
    <xdr:to>
      <xdr:col>5</xdr:col>
      <xdr:colOff>1104899</xdr:colOff>
      <xdr:row>207</xdr:row>
      <xdr:rowOff>161925</xdr:rowOff>
    </xdr:to>
    <xdr:graphicFrame macro="">
      <xdr:nvGraphicFramePr>
        <xdr:cNvPr id="58" name="Diagramm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1152526</xdr:colOff>
      <xdr:row>199</xdr:row>
      <xdr:rowOff>114300</xdr:rowOff>
    </xdr:from>
    <xdr:to>
      <xdr:col>7</xdr:col>
      <xdr:colOff>647701</xdr:colOff>
      <xdr:row>207</xdr:row>
      <xdr:rowOff>161925</xdr:rowOff>
    </xdr:to>
    <xdr:graphicFrame macro="">
      <xdr:nvGraphicFramePr>
        <xdr:cNvPr id="59" name="Diagramm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1143001</xdr:colOff>
      <xdr:row>198</xdr:row>
      <xdr:rowOff>180976</xdr:rowOff>
    </xdr:from>
    <xdr:to>
      <xdr:col>5</xdr:col>
      <xdr:colOff>1162050</xdr:colOff>
      <xdr:row>207</xdr:row>
      <xdr:rowOff>171451</xdr:rowOff>
    </xdr:to>
    <xdr:sp macro="" textlink="">
      <xdr:nvSpPr>
        <xdr:cNvPr id="60" name="Abgerundetes Rechteck 59"/>
        <xdr:cNvSpPr/>
      </xdr:nvSpPr>
      <xdr:spPr bwMode="auto">
        <a:xfrm>
          <a:off x="2790826" y="14982826"/>
          <a:ext cx="2266949" cy="2819400"/>
        </a:xfrm>
        <a:prstGeom prst="roundRect">
          <a:avLst>
            <a:gd name="adj" fmla="val 4952"/>
          </a:avLst>
        </a:prstGeom>
        <a:noFill/>
        <a:ln w="19050"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xdr:from>
      <xdr:col>0</xdr:col>
      <xdr:colOff>314324</xdr:colOff>
      <xdr:row>198</xdr:row>
      <xdr:rowOff>180975</xdr:rowOff>
    </xdr:from>
    <xdr:to>
      <xdr:col>3</xdr:col>
      <xdr:colOff>1038224</xdr:colOff>
      <xdr:row>207</xdr:row>
      <xdr:rowOff>171450</xdr:rowOff>
    </xdr:to>
    <xdr:sp macro="" textlink="">
      <xdr:nvSpPr>
        <xdr:cNvPr id="61" name="Abgerundetes Rechteck 60"/>
        <xdr:cNvSpPr/>
      </xdr:nvSpPr>
      <xdr:spPr bwMode="auto">
        <a:xfrm>
          <a:off x="314324" y="14982825"/>
          <a:ext cx="2371725" cy="2819400"/>
        </a:xfrm>
        <a:prstGeom prst="roundRect">
          <a:avLst>
            <a:gd name="adj" fmla="val 4952"/>
          </a:avLst>
        </a:prstGeom>
        <a:noFill/>
        <a:ln w="19050"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xdr:from>
      <xdr:col>5</xdr:col>
      <xdr:colOff>1285875</xdr:colOff>
      <xdr:row>198</xdr:row>
      <xdr:rowOff>180975</xdr:rowOff>
    </xdr:from>
    <xdr:to>
      <xdr:col>7</xdr:col>
      <xdr:colOff>771523</xdr:colOff>
      <xdr:row>207</xdr:row>
      <xdr:rowOff>171450</xdr:rowOff>
    </xdr:to>
    <xdr:sp macro="" textlink="">
      <xdr:nvSpPr>
        <xdr:cNvPr id="62" name="Abgerundetes Rechteck 61"/>
        <xdr:cNvSpPr/>
      </xdr:nvSpPr>
      <xdr:spPr bwMode="auto">
        <a:xfrm>
          <a:off x="5181600" y="14982825"/>
          <a:ext cx="2181223" cy="2819400"/>
        </a:xfrm>
        <a:prstGeom prst="roundRect">
          <a:avLst>
            <a:gd name="adj" fmla="val 4952"/>
          </a:avLst>
        </a:prstGeom>
        <a:noFill/>
        <a:ln w="19050"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xdr:from>
      <xdr:col>3</xdr:col>
      <xdr:colOff>1104899</xdr:colOff>
      <xdr:row>32</xdr:row>
      <xdr:rowOff>28575</xdr:rowOff>
    </xdr:from>
    <xdr:to>
      <xdr:col>4</xdr:col>
      <xdr:colOff>609600</xdr:colOff>
      <xdr:row>34</xdr:row>
      <xdr:rowOff>28575</xdr:rowOff>
    </xdr:to>
    <xdr:sp macro="" textlink="">
      <xdr:nvSpPr>
        <xdr:cNvPr id="63" name="Textfeld 62"/>
        <xdr:cNvSpPr txBox="1"/>
      </xdr:nvSpPr>
      <xdr:spPr>
        <a:xfrm>
          <a:off x="2762249" y="7258050"/>
          <a:ext cx="666751"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900" i="1">
              <a:latin typeface="Arial" pitchFamily="34" charset="0"/>
              <a:cs typeface="Arial" pitchFamily="34" charset="0"/>
            </a:rPr>
            <a:t>HWB</a:t>
          </a:r>
          <a:r>
            <a:rPr lang="de-AT" sz="600" i="1">
              <a:latin typeface="Arial" pitchFamily="34" charset="0"/>
              <a:cs typeface="Arial" pitchFamily="34" charset="0"/>
            </a:rPr>
            <a:t>RK</a:t>
          </a:r>
        </a:p>
      </xdr:txBody>
    </xdr:sp>
    <xdr:clientData/>
  </xdr:twoCellAnchor>
  <xdr:twoCellAnchor>
    <xdr:from>
      <xdr:col>3</xdr:col>
      <xdr:colOff>1104899</xdr:colOff>
      <xdr:row>36</xdr:row>
      <xdr:rowOff>38100</xdr:rowOff>
    </xdr:from>
    <xdr:to>
      <xdr:col>4</xdr:col>
      <xdr:colOff>542925</xdr:colOff>
      <xdr:row>37</xdr:row>
      <xdr:rowOff>57150</xdr:rowOff>
    </xdr:to>
    <xdr:sp macro="" textlink="">
      <xdr:nvSpPr>
        <xdr:cNvPr id="64" name="Textfeld 63"/>
        <xdr:cNvSpPr txBox="1"/>
      </xdr:nvSpPr>
      <xdr:spPr>
        <a:xfrm>
          <a:off x="2762249" y="7867650"/>
          <a:ext cx="60007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900" i="1">
              <a:solidFill>
                <a:schemeClr val="dk1"/>
              </a:solidFill>
              <a:latin typeface="Arial" pitchFamily="34" charset="0"/>
              <a:ea typeface="+mn-ea"/>
              <a:cs typeface="Arial" pitchFamily="34" charset="0"/>
            </a:rPr>
            <a:t>EEB</a:t>
          </a:r>
          <a:r>
            <a:rPr lang="de-AT" sz="600" i="1">
              <a:solidFill>
                <a:schemeClr val="dk1"/>
              </a:solidFill>
              <a:latin typeface="Arial" pitchFamily="34" charset="0"/>
              <a:ea typeface="+mn-ea"/>
              <a:cs typeface="Arial" pitchFamily="34" charset="0"/>
            </a:rPr>
            <a:t>RK</a:t>
          </a:r>
        </a:p>
      </xdr:txBody>
    </xdr:sp>
    <xdr:clientData/>
  </xdr:twoCellAnchor>
  <xdr:twoCellAnchor>
    <xdr:from>
      <xdr:col>5</xdr:col>
      <xdr:colOff>9525</xdr:colOff>
      <xdr:row>215</xdr:row>
      <xdr:rowOff>180975</xdr:rowOff>
    </xdr:from>
    <xdr:to>
      <xdr:col>5</xdr:col>
      <xdr:colOff>1190625</xdr:colOff>
      <xdr:row>217</xdr:row>
      <xdr:rowOff>9525</xdr:rowOff>
    </xdr:to>
    <xdr:sp macro="" textlink="">
      <xdr:nvSpPr>
        <xdr:cNvPr id="65" name="Textfeld 64">
          <a:hlinkClick xmlns:r="http://schemas.openxmlformats.org/officeDocument/2006/relationships" r:id="rId4"/>
        </xdr:cNvPr>
        <xdr:cNvSpPr txBox="1"/>
      </xdr:nvSpPr>
      <xdr:spPr>
        <a:xfrm>
          <a:off x="3905250" y="20183475"/>
          <a:ext cx="1181100" cy="2286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AT" sz="1100" u="sng">
              <a:solidFill>
                <a:srgbClr val="0060A8"/>
              </a:solidFill>
            </a:rPr>
            <a:t>hier klicken</a:t>
          </a:r>
        </a:p>
      </xdr:txBody>
    </xdr:sp>
    <xdr:clientData/>
  </xdr:twoCellAnchor>
  <xdr:twoCellAnchor editAs="oneCell">
    <xdr:from>
      <xdr:col>7</xdr:col>
      <xdr:colOff>342900</xdr:colOff>
      <xdr:row>0</xdr:row>
      <xdr:rowOff>0</xdr:rowOff>
    </xdr:from>
    <xdr:to>
      <xdr:col>8</xdr:col>
      <xdr:colOff>0</xdr:colOff>
      <xdr:row>2</xdr:row>
      <xdr:rowOff>11284</xdr:rowOff>
    </xdr:to>
    <xdr:pic>
      <xdr:nvPicPr>
        <xdr:cNvPr id="66" name="Grafik 65" descr="ET CMYK 35mmText_links.jpg"/>
        <xdr:cNvPicPr>
          <a:picLocks noChangeAspect="1"/>
        </xdr:cNvPicPr>
      </xdr:nvPicPr>
      <xdr:blipFill>
        <a:blip xmlns:r="http://schemas.openxmlformats.org/officeDocument/2006/relationships" r:embed="rId5" cstate="print"/>
        <a:srcRect l="47630" b="2655"/>
        <a:stretch>
          <a:fillRect/>
        </a:stretch>
      </xdr:blipFill>
      <xdr:spPr>
        <a:xfrm>
          <a:off x="6934200" y="0"/>
          <a:ext cx="695325" cy="697084"/>
        </a:xfrm>
        <a:prstGeom prst="rect">
          <a:avLst/>
        </a:prstGeom>
      </xdr:spPr>
    </xdr:pic>
    <xdr:clientData/>
  </xdr:twoCellAnchor>
  <xdr:twoCellAnchor>
    <xdr:from>
      <xdr:col>5</xdr:col>
      <xdr:colOff>752475</xdr:colOff>
      <xdr:row>235</xdr:row>
      <xdr:rowOff>19050</xdr:rowOff>
    </xdr:from>
    <xdr:to>
      <xdr:col>6</xdr:col>
      <xdr:colOff>981075</xdr:colOff>
      <xdr:row>236</xdr:row>
      <xdr:rowOff>76200</xdr:rowOff>
    </xdr:to>
    <xdr:sp macro="" textlink="">
      <xdr:nvSpPr>
        <xdr:cNvPr id="67" name="Textfeld 66">
          <a:hlinkClick xmlns:r="http://schemas.openxmlformats.org/officeDocument/2006/relationships" r:id="rId6"/>
        </xdr:cNvPr>
        <xdr:cNvSpPr txBox="1"/>
      </xdr:nvSpPr>
      <xdr:spPr>
        <a:xfrm>
          <a:off x="4648200" y="23326725"/>
          <a:ext cx="1790700" cy="266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AT" sz="1100"/>
            <a:t>Bundesgesetz  </a:t>
          </a:r>
          <a:r>
            <a:rPr lang="de-AT" sz="1100" u="sng">
              <a:solidFill>
                <a:srgbClr val="0060A8"/>
              </a:solidFill>
            </a:rPr>
            <a:t>hier klicken</a:t>
          </a:r>
        </a:p>
      </xdr:txBody>
    </xdr:sp>
    <xdr:clientData/>
  </xdr:twoCellAnchor>
  <mc:AlternateContent xmlns:mc="http://schemas.openxmlformats.org/markup-compatibility/2006">
    <mc:Choice xmlns:a14="http://schemas.microsoft.com/office/drawing/2010/main" Requires="a14">
      <xdr:twoCellAnchor>
        <xdr:from>
          <xdr:col>1</xdr:col>
          <xdr:colOff>66675</xdr:colOff>
          <xdr:row>48</xdr:row>
          <xdr:rowOff>66675</xdr:rowOff>
        </xdr:from>
        <xdr:to>
          <xdr:col>2</xdr:col>
          <xdr:colOff>76200</xdr:colOff>
          <xdr:row>50</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45</xdr:row>
          <xdr:rowOff>57150</xdr:rowOff>
        </xdr:from>
        <xdr:to>
          <xdr:col>2</xdr:col>
          <xdr:colOff>76200</xdr:colOff>
          <xdr:row>47</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xdr:row>
          <xdr:rowOff>28575</xdr:rowOff>
        </xdr:from>
        <xdr:to>
          <xdr:col>2</xdr:col>
          <xdr:colOff>76200</xdr:colOff>
          <xdr:row>40</xdr:row>
          <xdr:rowOff>28575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215</xdr:row>
          <xdr:rowOff>9525</xdr:rowOff>
        </xdr:from>
        <xdr:to>
          <xdr:col>7</xdr:col>
          <xdr:colOff>514350</xdr:colOff>
          <xdr:row>299</xdr:row>
          <xdr:rowOff>9525</xdr:rowOff>
        </xdr:to>
        <xdr:sp macro="" textlink="">
          <xdr:nvSpPr>
            <xdr:cNvPr id="7172" name="Drop Down 4" hidden="1">
              <a:extLst>
                <a:ext uri="{63B3BB69-23CF-44E3-9099-C40C66FF867C}">
                  <a14:compatExt spid="_x0000_s71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218</xdr:row>
          <xdr:rowOff>0</xdr:rowOff>
        </xdr:from>
        <xdr:to>
          <xdr:col>7</xdr:col>
          <xdr:colOff>514350</xdr:colOff>
          <xdr:row>298</xdr:row>
          <xdr:rowOff>200025</xdr:rowOff>
        </xdr:to>
        <xdr:sp macro="" textlink="">
          <xdr:nvSpPr>
            <xdr:cNvPr id="7173" name="Drop Down 5" hidden="1">
              <a:extLst>
                <a:ext uri="{63B3BB69-23CF-44E3-9099-C40C66FF867C}">
                  <a14:compatExt spid="_x0000_s7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219</xdr:row>
          <xdr:rowOff>200025</xdr:rowOff>
        </xdr:from>
        <xdr:to>
          <xdr:col>7</xdr:col>
          <xdr:colOff>504825</xdr:colOff>
          <xdr:row>298</xdr:row>
          <xdr:rowOff>200025</xdr:rowOff>
        </xdr:to>
        <xdr:sp macro="" textlink="">
          <xdr:nvSpPr>
            <xdr:cNvPr id="7174" name="Drop Down 6" hidden="1">
              <a:extLst>
                <a:ext uri="{63B3BB69-23CF-44E3-9099-C40C66FF867C}">
                  <a14:compatExt spid="_x0000_s7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221</xdr:row>
          <xdr:rowOff>200025</xdr:rowOff>
        </xdr:from>
        <xdr:to>
          <xdr:col>7</xdr:col>
          <xdr:colOff>504825</xdr:colOff>
          <xdr:row>298</xdr:row>
          <xdr:rowOff>200025</xdr:rowOff>
        </xdr:to>
        <xdr:sp macro="" textlink="">
          <xdr:nvSpPr>
            <xdr:cNvPr id="7175" name="Drop Down 7" hidden="1">
              <a:extLst>
                <a:ext uri="{63B3BB69-23CF-44E3-9099-C40C66FF867C}">
                  <a14:compatExt spid="_x0000_s7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18</xdr:row>
          <xdr:rowOff>200025</xdr:rowOff>
        </xdr:from>
        <xdr:to>
          <xdr:col>5</xdr:col>
          <xdr:colOff>561975</xdr:colOff>
          <xdr:row>19</xdr:row>
          <xdr:rowOff>200025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200025</xdr:rowOff>
        </xdr:from>
        <xdr:to>
          <xdr:col>2</xdr:col>
          <xdr:colOff>0</xdr:colOff>
          <xdr:row>20</xdr:row>
          <xdr:rowOff>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0</xdr:rowOff>
        </xdr:from>
        <xdr:to>
          <xdr:col>2</xdr:col>
          <xdr:colOff>0</xdr:colOff>
          <xdr:row>19</xdr:row>
          <xdr:rowOff>9525</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24</xdr:row>
          <xdr:rowOff>161925</xdr:rowOff>
        </xdr:from>
        <xdr:to>
          <xdr:col>4</xdr:col>
          <xdr:colOff>371475</xdr:colOff>
          <xdr:row>26</xdr:row>
          <xdr:rowOff>19050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23</xdr:row>
          <xdr:rowOff>161925</xdr:rowOff>
        </xdr:from>
        <xdr:to>
          <xdr:col>4</xdr:col>
          <xdr:colOff>371475</xdr:colOff>
          <xdr:row>24</xdr:row>
          <xdr:rowOff>171450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22</xdr:row>
          <xdr:rowOff>142875</xdr:rowOff>
        </xdr:from>
        <xdr:to>
          <xdr:col>4</xdr:col>
          <xdr:colOff>371475</xdr:colOff>
          <xdr:row>23</xdr:row>
          <xdr:rowOff>161925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21</xdr:row>
          <xdr:rowOff>238125</xdr:rowOff>
        </xdr:from>
        <xdr:to>
          <xdr:col>4</xdr:col>
          <xdr:colOff>371475</xdr:colOff>
          <xdr:row>23</xdr:row>
          <xdr:rowOff>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xdr:row>
          <xdr:rowOff>171450</xdr:rowOff>
        </xdr:from>
        <xdr:to>
          <xdr:col>2</xdr:col>
          <xdr:colOff>76200</xdr:colOff>
          <xdr:row>26</xdr:row>
          <xdr:rowOff>47625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xdr:row>
          <xdr:rowOff>180975</xdr:rowOff>
        </xdr:from>
        <xdr:to>
          <xdr:col>2</xdr:col>
          <xdr:colOff>0</xdr:colOff>
          <xdr:row>24</xdr:row>
          <xdr:rowOff>190500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xdr:row>
          <xdr:rowOff>152400</xdr:rowOff>
        </xdr:from>
        <xdr:to>
          <xdr:col>2</xdr:col>
          <xdr:colOff>0</xdr:colOff>
          <xdr:row>23</xdr:row>
          <xdr:rowOff>171450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xdr:row>
          <xdr:rowOff>228600</xdr:rowOff>
        </xdr:from>
        <xdr:to>
          <xdr:col>2</xdr:col>
          <xdr:colOff>0</xdr:colOff>
          <xdr:row>22</xdr:row>
          <xdr:rowOff>200025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9525</xdr:rowOff>
        </xdr:from>
        <xdr:to>
          <xdr:col>2</xdr:col>
          <xdr:colOff>657225</xdr:colOff>
          <xdr:row>41</xdr:row>
          <xdr:rowOff>19050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Pellets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9525</xdr:rowOff>
        </xdr:from>
        <xdr:to>
          <xdr:col>3</xdr:col>
          <xdr:colOff>904875</xdr:colOff>
          <xdr:row>41</xdr:row>
          <xdr:rowOff>19050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Hackschnitzel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9525</xdr:rowOff>
        </xdr:from>
        <xdr:to>
          <xdr:col>4</xdr:col>
          <xdr:colOff>904875</xdr:colOff>
          <xdr:row>41</xdr:row>
          <xdr:rowOff>19050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Holzvergaser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9525</xdr:rowOff>
        </xdr:from>
        <xdr:to>
          <xdr:col>5</xdr:col>
          <xdr:colOff>1495425</xdr:colOff>
          <xdr:row>41</xdr:row>
          <xdr:rowOff>19050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Ganzhausheizung mit Holz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xdr:row>
          <xdr:rowOff>95250</xdr:rowOff>
        </xdr:from>
        <xdr:to>
          <xdr:col>2</xdr:col>
          <xdr:colOff>76200</xdr:colOff>
          <xdr:row>44</xdr:row>
          <xdr:rowOff>47625</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9525</xdr:rowOff>
        </xdr:from>
        <xdr:to>
          <xdr:col>2</xdr:col>
          <xdr:colOff>904875</xdr:colOff>
          <xdr:row>45</xdr:row>
          <xdr:rowOff>19050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Grundwasser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9525</xdr:rowOff>
        </xdr:from>
        <xdr:to>
          <xdr:col>3</xdr:col>
          <xdr:colOff>657225</xdr:colOff>
          <xdr:row>45</xdr:row>
          <xdr:rowOff>19050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Erdreich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9525</xdr:rowOff>
        </xdr:from>
        <xdr:to>
          <xdr:col>4</xdr:col>
          <xdr:colOff>76200</xdr:colOff>
          <xdr:row>48</xdr:row>
          <xdr:rowOff>19050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Anschluss an bestehendes Fernwärme-Netz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9525</xdr:rowOff>
        </xdr:from>
        <xdr:to>
          <xdr:col>7</xdr:col>
          <xdr:colOff>904875</xdr:colOff>
          <xdr:row>48</xdr:row>
          <xdr:rowOff>19050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Anschluss an eine nahe liegende Heizzentrale mit biogenen Brennstoffen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50</xdr:row>
          <xdr:rowOff>9525</xdr:rowOff>
        </xdr:from>
        <xdr:to>
          <xdr:col>2</xdr:col>
          <xdr:colOff>819150</xdr:colOff>
          <xdr:row>51</xdr:row>
          <xdr:rowOff>19050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Biogas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50</xdr:row>
          <xdr:rowOff>9525</xdr:rowOff>
        </xdr:from>
        <xdr:to>
          <xdr:col>3</xdr:col>
          <xdr:colOff>819150</xdr:colOff>
          <xdr:row>51</xdr:row>
          <xdr:rowOff>19050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Erdgas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9525</xdr:rowOff>
        </xdr:from>
        <xdr:to>
          <xdr:col>4</xdr:col>
          <xdr:colOff>819150</xdr:colOff>
          <xdr:row>45</xdr:row>
          <xdr:rowOff>19050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Luft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52</xdr:row>
          <xdr:rowOff>28575</xdr:rowOff>
        </xdr:from>
        <xdr:to>
          <xdr:col>2</xdr:col>
          <xdr:colOff>76200</xdr:colOff>
          <xdr:row>52</xdr:row>
          <xdr:rowOff>161925</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53</xdr:row>
          <xdr:rowOff>9525</xdr:rowOff>
        </xdr:from>
        <xdr:to>
          <xdr:col>2</xdr:col>
          <xdr:colOff>819150</xdr:colOff>
          <xdr:row>54</xdr:row>
          <xdr:rowOff>19050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Heizöl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53</xdr:row>
          <xdr:rowOff>9525</xdr:rowOff>
        </xdr:from>
        <xdr:to>
          <xdr:col>3</xdr:col>
          <xdr:colOff>819150</xdr:colOff>
          <xdr:row>54</xdr:row>
          <xdr:rowOff>19050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Erdgas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9525</xdr:rowOff>
        </xdr:from>
        <xdr:to>
          <xdr:col>4</xdr:col>
          <xdr:colOff>819150</xdr:colOff>
          <xdr:row>54</xdr:row>
          <xdr:rowOff>19050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Kohle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9525</xdr:rowOff>
        </xdr:from>
        <xdr:to>
          <xdr:col>5</xdr:col>
          <xdr:colOff>609600</xdr:colOff>
          <xdr:row>54</xdr:row>
          <xdr:rowOff>57150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Strom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53</xdr:row>
          <xdr:rowOff>9525</xdr:rowOff>
        </xdr:from>
        <xdr:to>
          <xdr:col>6</xdr:col>
          <xdr:colOff>714375</xdr:colOff>
          <xdr:row>54</xdr:row>
          <xdr:rowOff>19050</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4</xdr:col>
          <xdr:colOff>476250</xdr:colOff>
          <xdr:row>42</xdr:row>
          <xdr:rowOff>19050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vollsolare Raumheizung (100% Deckungsgrad)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19050</xdr:rowOff>
        </xdr:from>
        <xdr:to>
          <xdr:col>5</xdr:col>
          <xdr:colOff>266700</xdr:colOff>
          <xdr:row>58</xdr:row>
          <xdr:rowOff>28575</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teilsolare Raumheizung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18</xdr:row>
          <xdr:rowOff>180975</xdr:rowOff>
        </xdr:from>
        <xdr:to>
          <xdr:col>6</xdr:col>
          <xdr:colOff>466725</xdr:colOff>
          <xdr:row>19</xdr:row>
          <xdr:rowOff>180975</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19050</xdr:rowOff>
        </xdr:from>
        <xdr:to>
          <xdr:col>3</xdr:col>
          <xdr:colOff>1095375</xdr:colOff>
          <xdr:row>58</xdr:row>
          <xdr:rowOff>28575</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Solaranlage zur Warmwasserbereitung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233</xdr:row>
          <xdr:rowOff>0</xdr:rowOff>
        </xdr:from>
        <xdr:to>
          <xdr:col>5</xdr:col>
          <xdr:colOff>790575</xdr:colOff>
          <xdr:row>299</xdr:row>
          <xdr:rowOff>9525</xdr:rowOff>
        </xdr:to>
        <xdr:sp macro="" textlink="">
          <xdr:nvSpPr>
            <xdr:cNvPr id="7209" name="Drop Down 41" hidden="1">
              <a:extLst>
                <a:ext uri="{63B3BB69-23CF-44E3-9099-C40C66FF867C}">
                  <a14:compatExt spid="_x0000_s72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234</xdr:row>
          <xdr:rowOff>38100</xdr:rowOff>
        </xdr:from>
        <xdr:to>
          <xdr:col>5</xdr:col>
          <xdr:colOff>790575</xdr:colOff>
          <xdr:row>298</xdr:row>
          <xdr:rowOff>200025</xdr:rowOff>
        </xdr:to>
        <xdr:sp macro="" textlink="">
          <xdr:nvSpPr>
            <xdr:cNvPr id="7210" name="Drop Down 42" hidden="1">
              <a:extLst>
                <a:ext uri="{63B3BB69-23CF-44E3-9099-C40C66FF867C}">
                  <a14:compatExt spid="_x0000_s72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235</xdr:row>
          <xdr:rowOff>47625</xdr:rowOff>
        </xdr:from>
        <xdr:to>
          <xdr:col>5</xdr:col>
          <xdr:colOff>790575</xdr:colOff>
          <xdr:row>298</xdr:row>
          <xdr:rowOff>200025</xdr:rowOff>
        </xdr:to>
        <xdr:sp macro="" textlink="">
          <xdr:nvSpPr>
            <xdr:cNvPr id="7211" name="Drop Down 43" hidden="1">
              <a:extLst>
                <a:ext uri="{63B3BB69-23CF-44E3-9099-C40C66FF867C}">
                  <a14:compatExt spid="_x0000_s72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241</xdr:row>
          <xdr:rowOff>9525</xdr:rowOff>
        </xdr:from>
        <xdr:to>
          <xdr:col>7</xdr:col>
          <xdr:colOff>9525</xdr:colOff>
          <xdr:row>298</xdr:row>
          <xdr:rowOff>200025</xdr:rowOff>
        </xdr:to>
        <xdr:sp macro="" textlink="">
          <xdr:nvSpPr>
            <xdr:cNvPr id="7212" name="Drop Down 44" hidden="1">
              <a:extLst>
                <a:ext uri="{63B3BB69-23CF-44E3-9099-C40C66FF867C}">
                  <a14:compatExt spid="_x0000_s7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242</xdr:row>
          <xdr:rowOff>19050</xdr:rowOff>
        </xdr:from>
        <xdr:to>
          <xdr:col>7</xdr:col>
          <xdr:colOff>9525</xdr:colOff>
          <xdr:row>298</xdr:row>
          <xdr:rowOff>200025</xdr:rowOff>
        </xdr:to>
        <xdr:sp macro="" textlink="">
          <xdr:nvSpPr>
            <xdr:cNvPr id="7213" name="Drop Down 45" hidden="1">
              <a:extLst>
                <a:ext uri="{63B3BB69-23CF-44E3-9099-C40C66FF867C}">
                  <a14:compatExt spid="_x0000_s72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243</xdr:row>
          <xdr:rowOff>38100</xdr:rowOff>
        </xdr:from>
        <xdr:to>
          <xdr:col>7</xdr:col>
          <xdr:colOff>9525</xdr:colOff>
          <xdr:row>298</xdr:row>
          <xdr:rowOff>200025</xdr:rowOff>
        </xdr:to>
        <xdr:sp macro="" textlink="">
          <xdr:nvSpPr>
            <xdr:cNvPr id="7214" name="Drop Down 46" hidden="1">
              <a:extLst>
                <a:ext uri="{63B3BB69-23CF-44E3-9099-C40C66FF867C}">
                  <a14:compatExt spid="_x0000_s72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253</xdr:row>
          <xdr:rowOff>9525</xdr:rowOff>
        </xdr:from>
        <xdr:to>
          <xdr:col>5</xdr:col>
          <xdr:colOff>28575</xdr:colOff>
          <xdr:row>298</xdr:row>
          <xdr:rowOff>200025</xdr:rowOff>
        </xdr:to>
        <xdr:sp macro="" textlink="">
          <xdr:nvSpPr>
            <xdr:cNvPr id="7215" name="Drop Down 47" hidden="1">
              <a:extLst>
                <a:ext uri="{63B3BB69-23CF-44E3-9099-C40C66FF867C}">
                  <a14:compatExt spid="_x0000_s72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251</xdr:row>
          <xdr:rowOff>19050</xdr:rowOff>
        </xdr:from>
        <xdr:to>
          <xdr:col>3</xdr:col>
          <xdr:colOff>876300</xdr:colOff>
          <xdr:row>298</xdr:row>
          <xdr:rowOff>200025</xdr:rowOff>
        </xdr:to>
        <xdr:sp macro="" textlink="">
          <xdr:nvSpPr>
            <xdr:cNvPr id="7216" name="Drop Down 48" hidden="1">
              <a:extLst>
                <a:ext uri="{63B3BB69-23CF-44E3-9099-C40C66FF867C}">
                  <a14:compatExt spid="_x0000_s72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64</xdr:row>
          <xdr:rowOff>114300</xdr:rowOff>
        </xdr:from>
        <xdr:to>
          <xdr:col>11</xdr:col>
          <xdr:colOff>304800</xdr:colOff>
          <xdr:row>65</xdr:row>
          <xdr:rowOff>9525</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263</xdr:row>
          <xdr:rowOff>28575</xdr:rowOff>
        </xdr:from>
        <xdr:to>
          <xdr:col>5</xdr:col>
          <xdr:colOff>1543050</xdr:colOff>
          <xdr:row>298</xdr:row>
          <xdr:rowOff>200025</xdr:rowOff>
        </xdr:to>
        <xdr:sp macro="" textlink="">
          <xdr:nvSpPr>
            <xdr:cNvPr id="7218" name="Drop Down 50" hidden="1">
              <a:extLst>
                <a:ext uri="{63B3BB69-23CF-44E3-9099-C40C66FF867C}">
                  <a14:compatExt spid="_x0000_s72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271</xdr:row>
          <xdr:rowOff>9525</xdr:rowOff>
        </xdr:from>
        <xdr:to>
          <xdr:col>6</xdr:col>
          <xdr:colOff>219075</xdr:colOff>
          <xdr:row>299</xdr:row>
          <xdr:rowOff>0</xdr:rowOff>
        </xdr:to>
        <xdr:sp macro="" textlink="">
          <xdr:nvSpPr>
            <xdr:cNvPr id="7219" name="Drop Down 51" hidden="1">
              <a:extLst>
                <a:ext uri="{63B3BB69-23CF-44E3-9099-C40C66FF867C}">
                  <a14:compatExt spid="_x0000_s72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281</xdr:row>
          <xdr:rowOff>9525</xdr:rowOff>
        </xdr:from>
        <xdr:to>
          <xdr:col>5</xdr:col>
          <xdr:colOff>1495425</xdr:colOff>
          <xdr:row>299</xdr:row>
          <xdr:rowOff>0</xdr:rowOff>
        </xdr:to>
        <xdr:sp macro="" textlink="">
          <xdr:nvSpPr>
            <xdr:cNvPr id="7220" name="Drop Down 52" hidden="1">
              <a:extLst>
                <a:ext uri="{63B3BB69-23CF-44E3-9099-C40C66FF867C}">
                  <a14:compatExt spid="_x0000_s7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54</xdr:row>
          <xdr:rowOff>9525</xdr:rowOff>
        </xdr:from>
        <xdr:to>
          <xdr:col>5</xdr:col>
          <xdr:colOff>123825</xdr:colOff>
          <xdr:row>55</xdr:row>
          <xdr:rowOff>19050</xdr:rowOff>
        </xdr:to>
        <xdr:sp macro="" textlink="">
          <xdr:nvSpPr>
            <xdr:cNvPr id="7221" name="Check Box 53" hidden="1">
              <a:extLst>
                <a:ext uri="{63B3BB69-23CF-44E3-9099-C40C66FF867C}">
                  <a14:compatExt spid="_x0000_s7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Nah- oder Fernwärme aus nicht erneuerbaren Energieträgern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57</xdr:row>
          <xdr:rowOff>19050</xdr:rowOff>
        </xdr:from>
        <xdr:to>
          <xdr:col>6</xdr:col>
          <xdr:colOff>400050</xdr:colOff>
          <xdr:row>58</xdr:row>
          <xdr:rowOff>19050</xdr:rowOff>
        </xdr:to>
        <xdr:sp macro="" textlink="">
          <xdr:nvSpPr>
            <xdr:cNvPr id="7222" name="Check Box 54" hidden="1">
              <a:extLst>
                <a:ext uri="{63B3BB69-23CF-44E3-9099-C40C66FF867C}">
                  <a14:compatExt spid="_x0000_s7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Photovoltaik-Anlage</a:t>
              </a:r>
            </a:p>
          </xdr:txBody>
        </xdr:sp>
        <xdr:clientData fLocksWithSheet="0"/>
      </xdr:twoCellAnchor>
    </mc:Choice>
    <mc:Fallback/>
  </mc:AlternateContent>
  <xdr:twoCellAnchor>
    <xdr:from>
      <xdr:col>5</xdr:col>
      <xdr:colOff>714376</xdr:colOff>
      <xdr:row>32</xdr:row>
      <xdr:rowOff>171450</xdr:rowOff>
    </xdr:from>
    <xdr:to>
      <xdr:col>6</xdr:col>
      <xdr:colOff>66676</xdr:colOff>
      <xdr:row>34</xdr:row>
      <xdr:rowOff>76200</xdr:rowOff>
    </xdr:to>
    <xdr:sp macro="" textlink="">
      <xdr:nvSpPr>
        <xdr:cNvPr id="120" name="Textfeld 119"/>
        <xdr:cNvSpPr txBox="1"/>
      </xdr:nvSpPr>
      <xdr:spPr>
        <a:xfrm>
          <a:off x="4619626" y="7400925"/>
          <a:ext cx="9144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800" i="1">
              <a:latin typeface="Arial" pitchFamily="34" charset="0"/>
              <a:cs typeface="Arial" pitchFamily="34" charset="0"/>
            </a:rPr>
            <a:t>(Referenzklima)</a:t>
          </a:r>
        </a:p>
      </xdr:txBody>
    </xdr:sp>
    <xdr:clientData/>
  </xdr:twoCellAnchor>
  <mc:AlternateContent xmlns:mc="http://schemas.openxmlformats.org/markup-compatibility/2006">
    <mc:Choice xmlns:a14="http://schemas.microsoft.com/office/drawing/2010/main" Requires="a14">
      <xdr:twoCellAnchor editAs="oneCell">
        <xdr:from>
          <xdr:col>6</xdr:col>
          <xdr:colOff>723900</xdr:colOff>
          <xdr:row>57</xdr:row>
          <xdr:rowOff>19050</xdr:rowOff>
        </xdr:from>
        <xdr:to>
          <xdr:col>7</xdr:col>
          <xdr:colOff>762000</xdr:colOff>
          <xdr:row>58</xdr:row>
          <xdr:rowOff>19050</xdr:rowOff>
        </xdr:to>
        <xdr:sp macro="" textlink="">
          <xdr:nvSpPr>
            <xdr:cNvPr id="7226" name="Check Box 58" hidden="1">
              <a:extLst>
                <a:ext uri="{63B3BB69-23CF-44E3-9099-C40C66FF867C}">
                  <a14:compatExt spid="_x0000_s7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Komfortlüftung</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152400</xdr:rowOff>
    </xdr:from>
    <xdr:to>
      <xdr:col>3</xdr:col>
      <xdr:colOff>904876</xdr:colOff>
      <xdr:row>28</xdr:row>
      <xdr:rowOff>200025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1123950</xdr:colOff>
      <xdr:row>20</xdr:row>
      <xdr:rowOff>152400</xdr:rowOff>
    </xdr:from>
    <xdr:to>
      <xdr:col>5</xdr:col>
      <xdr:colOff>914400</xdr:colOff>
      <xdr:row>28</xdr:row>
      <xdr:rowOff>200025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962027</xdr:colOff>
      <xdr:row>20</xdr:row>
      <xdr:rowOff>152400</xdr:rowOff>
    </xdr:from>
    <xdr:to>
      <xdr:col>7</xdr:col>
      <xdr:colOff>600077</xdr:colOff>
      <xdr:row>28</xdr:row>
      <xdr:rowOff>200025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1133476</xdr:colOff>
      <xdr:row>19</xdr:row>
      <xdr:rowOff>333376</xdr:rowOff>
    </xdr:from>
    <xdr:to>
      <xdr:col>5</xdr:col>
      <xdr:colOff>981077</xdr:colOff>
      <xdr:row>29</xdr:row>
      <xdr:rowOff>1</xdr:rowOff>
    </xdr:to>
    <xdr:sp macro="" textlink="">
      <xdr:nvSpPr>
        <xdr:cNvPr id="5" name="Abgerundetes Rechteck 4"/>
        <xdr:cNvSpPr/>
      </xdr:nvSpPr>
      <xdr:spPr bwMode="auto">
        <a:xfrm>
          <a:off x="2781301" y="4981576"/>
          <a:ext cx="2314576" cy="2819400"/>
        </a:xfrm>
        <a:prstGeom prst="roundRect">
          <a:avLst>
            <a:gd name="adj" fmla="val 4952"/>
          </a:avLst>
        </a:prstGeom>
        <a:noFill/>
        <a:ln w="19050"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xdr:from>
      <xdr:col>1</xdr:col>
      <xdr:colOff>19051</xdr:colOff>
      <xdr:row>19</xdr:row>
      <xdr:rowOff>333375</xdr:rowOff>
    </xdr:from>
    <xdr:to>
      <xdr:col>3</xdr:col>
      <xdr:colOff>1019176</xdr:colOff>
      <xdr:row>29</xdr:row>
      <xdr:rowOff>0</xdr:rowOff>
    </xdr:to>
    <xdr:sp macro="" textlink="">
      <xdr:nvSpPr>
        <xdr:cNvPr id="6" name="Abgerundetes Rechteck 5"/>
        <xdr:cNvSpPr/>
      </xdr:nvSpPr>
      <xdr:spPr bwMode="auto">
        <a:xfrm>
          <a:off x="342901" y="4981575"/>
          <a:ext cx="2324100" cy="2819400"/>
        </a:xfrm>
        <a:prstGeom prst="roundRect">
          <a:avLst>
            <a:gd name="adj" fmla="val 4952"/>
          </a:avLst>
        </a:prstGeom>
        <a:noFill/>
        <a:ln w="19050"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xdr:from>
      <xdr:col>5</xdr:col>
      <xdr:colOff>1095376</xdr:colOff>
      <xdr:row>19</xdr:row>
      <xdr:rowOff>333375</xdr:rowOff>
    </xdr:from>
    <xdr:to>
      <xdr:col>7</xdr:col>
      <xdr:colOff>723899</xdr:colOff>
      <xdr:row>29</xdr:row>
      <xdr:rowOff>0</xdr:rowOff>
    </xdr:to>
    <xdr:sp macro="" textlink="">
      <xdr:nvSpPr>
        <xdr:cNvPr id="7" name="Abgerundetes Rechteck 6"/>
        <xdr:cNvSpPr/>
      </xdr:nvSpPr>
      <xdr:spPr bwMode="auto">
        <a:xfrm>
          <a:off x="5210176" y="4981575"/>
          <a:ext cx="2181223" cy="2819400"/>
        </a:xfrm>
        <a:prstGeom prst="roundRect">
          <a:avLst>
            <a:gd name="adj" fmla="val 4952"/>
          </a:avLst>
        </a:prstGeom>
        <a:noFill/>
        <a:ln w="19050"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editAs="oneCell">
    <xdr:from>
      <xdr:col>7</xdr:col>
      <xdr:colOff>342900</xdr:colOff>
      <xdr:row>0</xdr:row>
      <xdr:rowOff>0</xdr:rowOff>
    </xdr:from>
    <xdr:to>
      <xdr:col>8</xdr:col>
      <xdr:colOff>0</xdr:colOff>
      <xdr:row>2</xdr:row>
      <xdr:rowOff>11284</xdr:rowOff>
    </xdr:to>
    <xdr:pic>
      <xdr:nvPicPr>
        <xdr:cNvPr id="8" name="Grafik 7" descr="ET CMYK 35mmText_links.jpg"/>
        <xdr:cNvPicPr>
          <a:picLocks noChangeAspect="1"/>
        </xdr:cNvPicPr>
      </xdr:nvPicPr>
      <xdr:blipFill>
        <a:blip xmlns:r="http://schemas.openxmlformats.org/officeDocument/2006/relationships" r:embed="rId4" cstate="print"/>
        <a:srcRect l="47630" b="2655"/>
        <a:stretch>
          <a:fillRect/>
        </a:stretch>
      </xdr:blipFill>
      <xdr:spPr>
        <a:xfrm>
          <a:off x="7010400" y="0"/>
          <a:ext cx="695325" cy="69708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35</xdr:row>
          <xdr:rowOff>28575</xdr:rowOff>
        </xdr:from>
        <xdr:to>
          <xdr:col>1</xdr:col>
          <xdr:colOff>57150</xdr:colOff>
          <xdr:row>35</xdr:row>
          <xdr:rowOff>247650</xdr:rowOff>
        </xdr:to>
        <xdr:sp macro="" textlink="">
          <xdr:nvSpPr>
            <xdr:cNvPr id="18433" name="Option Button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0</xdr:rowOff>
        </xdr:from>
        <xdr:to>
          <xdr:col>1</xdr:col>
          <xdr:colOff>57150</xdr:colOff>
          <xdr:row>40</xdr:row>
          <xdr:rowOff>219075</xdr:rowOff>
        </xdr:to>
        <xdr:sp macro="" textlink="">
          <xdr:nvSpPr>
            <xdr:cNvPr id="18434" name="Option Button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28575</xdr:colOff>
      <xdr:row>26</xdr:row>
      <xdr:rowOff>15477</xdr:rowOff>
    </xdr:from>
    <xdr:to>
      <xdr:col>8</xdr:col>
      <xdr:colOff>0</xdr:colOff>
      <xdr:row>27</xdr:row>
      <xdr:rowOff>468</xdr:rowOff>
    </xdr:to>
    <xdr:grpSp>
      <xdr:nvGrpSpPr>
        <xdr:cNvPr id="1308" name="Group 284"/>
        <xdr:cNvGrpSpPr>
          <a:grpSpLocks/>
        </xdr:cNvGrpSpPr>
      </xdr:nvGrpSpPr>
      <xdr:grpSpPr bwMode="auto">
        <a:xfrm>
          <a:off x="650240" y="1375664"/>
          <a:ext cx="7487920" cy="0"/>
          <a:chOff x="44" y="562"/>
          <a:chExt cx="181" cy="10"/>
        </a:xfrm>
      </xdr:grpSpPr>
      <xdr:sp macro="" textlink="">
        <xdr:nvSpPr>
          <xdr:cNvPr id="1042" name="Text Box 18"/>
          <xdr:cNvSpPr txBox="1">
            <a:spLocks noChangeArrowheads="1"/>
          </xdr:cNvSpPr>
        </xdr:nvSpPr>
        <xdr:spPr bwMode="auto">
          <a:xfrm>
            <a:off x="44" y="562"/>
            <a:ext cx="181" cy="1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Energieversorgungssystem auf der Grundlage von Energie aus erneuerbaren Quellen</a:t>
            </a:r>
          </a:p>
        </xdr:txBody>
      </xdr:sp>
    </xdr:grpSp>
    <xdr:clientData/>
  </xdr:twoCellAnchor>
  <xdr:twoCellAnchor>
    <xdr:from>
      <xdr:col>2</xdr:col>
      <xdr:colOff>12245</xdr:colOff>
      <xdr:row>33</xdr:row>
      <xdr:rowOff>30</xdr:rowOff>
    </xdr:from>
    <xdr:to>
      <xdr:col>7</xdr:col>
      <xdr:colOff>1590673</xdr:colOff>
      <xdr:row>34</xdr:row>
      <xdr:rowOff>46413</xdr:rowOff>
    </xdr:to>
    <xdr:grpSp>
      <xdr:nvGrpSpPr>
        <xdr:cNvPr id="1044" name="Group 20"/>
        <xdr:cNvGrpSpPr>
          <a:grpSpLocks/>
        </xdr:cNvGrpSpPr>
      </xdr:nvGrpSpPr>
      <xdr:grpSpPr bwMode="auto">
        <a:xfrm>
          <a:off x="632640" y="1375664"/>
          <a:ext cx="7505518" cy="0"/>
          <a:chOff x="53" y="466"/>
          <a:chExt cx="222" cy="6"/>
        </a:xfrm>
      </xdr:grpSpPr>
      <xdr:sp macro="" textlink="">
        <xdr:nvSpPr>
          <xdr:cNvPr id="1045" name="Text Box 21"/>
          <xdr:cNvSpPr txBox="1">
            <a:spLocks noChangeArrowheads="1"/>
          </xdr:cNvSpPr>
        </xdr:nvSpPr>
        <xdr:spPr bwMode="auto">
          <a:xfrm>
            <a:off x="53" y="466"/>
            <a:ext cx="222" cy="6"/>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Fern- oder Nahwärmesystem aus erneuerbaren Quellen</a:t>
            </a:r>
          </a:p>
        </xdr:txBody>
      </xdr:sp>
    </xdr:grpSp>
    <xdr:clientData/>
  </xdr:twoCellAnchor>
  <xdr:twoCellAnchor>
    <xdr:from>
      <xdr:col>2</xdr:col>
      <xdr:colOff>49708</xdr:colOff>
      <xdr:row>35</xdr:row>
      <xdr:rowOff>95240</xdr:rowOff>
    </xdr:from>
    <xdr:to>
      <xdr:col>8</xdr:col>
      <xdr:colOff>19050</xdr:colOff>
      <xdr:row>36</xdr:row>
      <xdr:rowOff>203173</xdr:rowOff>
    </xdr:to>
    <xdr:grpSp>
      <xdr:nvGrpSpPr>
        <xdr:cNvPr id="1047" name="Group 23"/>
        <xdr:cNvGrpSpPr>
          <a:grpSpLocks/>
        </xdr:cNvGrpSpPr>
      </xdr:nvGrpSpPr>
      <xdr:grpSpPr bwMode="auto">
        <a:xfrm>
          <a:off x="672643" y="1375664"/>
          <a:ext cx="7465517" cy="0"/>
          <a:chOff x="42" y="628"/>
          <a:chExt cx="190" cy="6"/>
        </a:xfrm>
      </xdr:grpSpPr>
      <xdr:sp macro="" textlink="">
        <xdr:nvSpPr>
          <xdr:cNvPr id="1048" name="Text Box 24"/>
          <xdr:cNvSpPr txBox="1">
            <a:spLocks noChangeArrowheads="1"/>
          </xdr:cNvSpPr>
        </xdr:nvSpPr>
        <xdr:spPr bwMode="auto">
          <a:xfrm>
            <a:off x="42" y="628"/>
            <a:ext cx="190" cy="6"/>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Kraft-Wärme-Kopplungsanlage</a:t>
            </a:r>
          </a:p>
        </xdr:txBody>
      </xdr:sp>
    </xdr:grpSp>
    <xdr:clientData/>
  </xdr:twoCellAnchor>
  <xdr:twoCellAnchor>
    <xdr:from>
      <xdr:col>7</xdr:col>
      <xdr:colOff>523875</xdr:colOff>
      <xdr:row>187</xdr:row>
      <xdr:rowOff>9525</xdr:rowOff>
    </xdr:from>
    <xdr:to>
      <xdr:col>7</xdr:col>
      <xdr:colOff>952500</xdr:colOff>
      <xdr:row>187</xdr:row>
      <xdr:rowOff>200025</xdr:rowOff>
    </xdr:to>
    <xdr:sp macro="" textlink="">
      <xdr:nvSpPr>
        <xdr:cNvPr id="1168" name="Text Box 144"/>
        <xdr:cNvSpPr txBox="1">
          <a:spLocks noChangeArrowheads="1"/>
        </xdr:cNvSpPr>
      </xdr:nvSpPr>
      <xdr:spPr bwMode="auto">
        <a:xfrm>
          <a:off x="5629275" y="24460200"/>
          <a:ext cx="428625" cy="190500"/>
        </a:xfrm>
        <a:prstGeom prst="rect">
          <a:avLst/>
        </a:prstGeom>
        <a:noFill/>
        <a:ln w="9525">
          <a:noFill/>
          <a:miter lim="800000"/>
          <a:headEnd/>
          <a:tailEnd/>
        </a:ln>
      </xdr:spPr>
    </xdr:sp>
    <xdr:clientData/>
  </xdr:twoCellAnchor>
  <xdr:twoCellAnchor>
    <xdr:from>
      <xdr:col>7</xdr:col>
      <xdr:colOff>19050</xdr:colOff>
      <xdr:row>195</xdr:row>
      <xdr:rowOff>0</xdr:rowOff>
    </xdr:from>
    <xdr:to>
      <xdr:col>7</xdr:col>
      <xdr:colOff>447675</xdr:colOff>
      <xdr:row>195</xdr:row>
      <xdr:rowOff>0</xdr:rowOff>
    </xdr:to>
    <xdr:sp macro="" textlink="">
      <xdr:nvSpPr>
        <xdr:cNvPr id="1169" name="Text Box 145"/>
        <xdr:cNvSpPr txBox="1">
          <a:spLocks noChangeArrowheads="1"/>
        </xdr:cNvSpPr>
      </xdr:nvSpPr>
      <xdr:spPr bwMode="auto">
        <a:xfrm>
          <a:off x="5124450" y="26736675"/>
          <a:ext cx="4286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AT" sz="1100" b="0" i="0" u="none" strike="noStrike" baseline="0">
              <a:solidFill>
                <a:srgbClr val="000000"/>
              </a:solidFill>
              <a:latin typeface="Arial"/>
              <a:cs typeface="Arial"/>
            </a:rPr>
            <a:t>0.20</a:t>
          </a:r>
        </a:p>
      </xdr:txBody>
    </xdr:sp>
    <xdr:clientData/>
  </xdr:twoCellAnchor>
  <xdr:twoCellAnchor>
    <xdr:from>
      <xdr:col>7</xdr:col>
      <xdr:colOff>19050</xdr:colOff>
      <xdr:row>202</xdr:row>
      <xdr:rowOff>0</xdr:rowOff>
    </xdr:from>
    <xdr:to>
      <xdr:col>7</xdr:col>
      <xdr:colOff>447675</xdr:colOff>
      <xdr:row>202</xdr:row>
      <xdr:rowOff>0</xdr:rowOff>
    </xdr:to>
    <xdr:sp macro="" textlink="">
      <xdr:nvSpPr>
        <xdr:cNvPr id="1174" name="Text Box 150"/>
        <xdr:cNvSpPr txBox="1">
          <a:spLocks noChangeArrowheads="1"/>
        </xdr:cNvSpPr>
      </xdr:nvSpPr>
      <xdr:spPr bwMode="auto">
        <a:xfrm>
          <a:off x="5124450" y="28936950"/>
          <a:ext cx="4286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AT" sz="1100" b="0" i="0" u="none" strike="noStrike" baseline="0">
              <a:solidFill>
                <a:srgbClr val="000000"/>
              </a:solidFill>
              <a:latin typeface="Arial"/>
              <a:cs typeface="Arial"/>
            </a:rPr>
            <a:t>2.50</a:t>
          </a:r>
        </a:p>
      </xdr:txBody>
    </xdr:sp>
    <xdr:clientData/>
  </xdr:twoCellAnchor>
  <xdr:twoCellAnchor>
    <xdr:from>
      <xdr:col>7</xdr:col>
      <xdr:colOff>523875</xdr:colOff>
      <xdr:row>190</xdr:row>
      <xdr:rowOff>9525</xdr:rowOff>
    </xdr:from>
    <xdr:to>
      <xdr:col>7</xdr:col>
      <xdr:colOff>952500</xdr:colOff>
      <xdr:row>190</xdr:row>
      <xdr:rowOff>200025</xdr:rowOff>
    </xdr:to>
    <xdr:sp macro="" textlink="">
      <xdr:nvSpPr>
        <xdr:cNvPr id="1175" name="Text Box 151"/>
        <xdr:cNvSpPr txBox="1">
          <a:spLocks noChangeArrowheads="1"/>
        </xdr:cNvSpPr>
      </xdr:nvSpPr>
      <xdr:spPr bwMode="auto">
        <a:xfrm>
          <a:off x="5629275" y="25088850"/>
          <a:ext cx="428625" cy="190500"/>
        </a:xfrm>
        <a:prstGeom prst="rect">
          <a:avLst/>
        </a:prstGeom>
        <a:noFill/>
        <a:ln w="9525">
          <a:noFill/>
          <a:miter lim="800000"/>
          <a:headEnd/>
          <a:tailEnd/>
        </a:ln>
      </xdr:spPr>
    </xdr:sp>
    <xdr:clientData/>
  </xdr:twoCellAnchor>
  <xdr:twoCellAnchor>
    <xdr:from>
      <xdr:col>7</xdr:col>
      <xdr:colOff>523875</xdr:colOff>
      <xdr:row>192</xdr:row>
      <xdr:rowOff>9525</xdr:rowOff>
    </xdr:from>
    <xdr:to>
      <xdr:col>7</xdr:col>
      <xdr:colOff>952500</xdr:colOff>
      <xdr:row>192</xdr:row>
      <xdr:rowOff>200025</xdr:rowOff>
    </xdr:to>
    <xdr:sp macro="" textlink="">
      <xdr:nvSpPr>
        <xdr:cNvPr id="1176" name="Text Box 152"/>
        <xdr:cNvSpPr txBox="1">
          <a:spLocks noChangeArrowheads="1"/>
        </xdr:cNvSpPr>
      </xdr:nvSpPr>
      <xdr:spPr bwMode="auto">
        <a:xfrm>
          <a:off x="5629275" y="25650825"/>
          <a:ext cx="428625" cy="190500"/>
        </a:xfrm>
        <a:prstGeom prst="rect">
          <a:avLst/>
        </a:prstGeom>
        <a:noFill/>
        <a:ln w="9525">
          <a:noFill/>
          <a:miter lim="800000"/>
          <a:headEnd/>
          <a:tailEnd/>
        </a:ln>
      </xdr:spPr>
    </xdr:sp>
    <xdr:clientData/>
  </xdr:twoCellAnchor>
  <xdr:twoCellAnchor>
    <xdr:from>
      <xdr:col>7</xdr:col>
      <xdr:colOff>523875</xdr:colOff>
      <xdr:row>193</xdr:row>
      <xdr:rowOff>9525</xdr:rowOff>
    </xdr:from>
    <xdr:to>
      <xdr:col>7</xdr:col>
      <xdr:colOff>952500</xdr:colOff>
      <xdr:row>193</xdr:row>
      <xdr:rowOff>200025</xdr:rowOff>
    </xdr:to>
    <xdr:sp macro="" textlink="">
      <xdr:nvSpPr>
        <xdr:cNvPr id="1177" name="Text Box 153"/>
        <xdr:cNvSpPr txBox="1">
          <a:spLocks noChangeArrowheads="1"/>
        </xdr:cNvSpPr>
      </xdr:nvSpPr>
      <xdr:spPr bwMode="auto">
        <a:xfrm>
          <a:off x="5629275" y="26012775"/>
          <a:ext cx="428625" cy="190500"/>
        </a:xfrm>
        <a:prstGeom prst="rect">
          <a:avLst/>
        </a:prstGeom>
        <a:noFill/>
        <a:ln w="9525">
          <a:noFill/>
          <a:miter lim="800000"/>
          <a:headEnd/>
          <a:tailEnd/>
        </a:ln>
      </xdr:spPr>
    </xdr:sp>
    <xdr:clientData/>
  </xdr:twoCellAnchor>
  <xdr:twoCellAnchor>
    <xdr:from>
      <xdr:col>7</xdr:col>
      <xdr:colOff>523875</xdr:colOff>
      <xdr:row>195</xdr:row>
      <xdr:rowOff>0</xdr:rowOff>
    </xdr:from>
    <xdr:to>
      <xdr:col>7</xdr:col>
      <xdr:colOff>952500</xdr:colOff>
      <xdr:row>195</xdr:row>
      <xdr:rowOff>0</xdr:rowOff>
    </xdr:to>
    <xdr:sp macro="" textlink="">
      <xdr:nvSpPr>
        <xdr:cNvPr id="1178" name="Text Box 154"/>
        <xdr:cNvSpPr txBox="1">
          <a:spLocks noChangeArrowheads="1"/>
        </xdr:cNvSpPr>
      </xdr:nvSpPr>
      <xdr:spPr bwMode="auto">
        <a:xfrm>
          <a:off x="5629275" y="26736675"/>
          <a:ext cx="428625" cy="0"/>
        </a:xfrm>
        <a:prstGeom prst="rect">
          <a:avLst/>
        </a:prstGeom>
        <a:noFill/>
        <a:ln w="9525">
          <a:noFill/>
          <a:miter lim="800000"/>
          <a:headEnd/>
          <a:tailEnd/>
        </a:ln>
      </xdr:spPr>
    </xdr:sp>
    <xdr:clientData/>
  </xdr:twoCellAnchor>
  <xdr:twoCellAnchor>
    <xdr:from>
      <xdr:col>7</xdr:col>
      <xdr:colOff>523875</xdr:colOff>
      <xdr:row>196</xdr:row>
      <xdr:rowOff>9525</xdr:rowOff>
    </xdr:from>
    <xdr:to>
      <xdr:col>7</xdr:col>
      <xdr:colOff>952500</xdr:colOff>
      <xdr:row>196</xdr:row>
      <xdr:rowOff>200025</xdr:rowOff>
    </xdr:to>
    <xdr:sp macro="" textlink="">
      <xdr:nvSpPr>
        <xdr:cNvPr id="1179" name="Text Box 155"/>
        <xdr:cNvSpPr txBox="1">
          <a:spLocks noChangeArrowheads="1"/>
        </xdr:cNvSpPr>
      </xdr:nvSpPr>
      <xdr:spPr bwMode="auto">
        <a:xfrm>
          <a:off x="5629275" y="27051000"/>
          <a:ext cx="428625" cy="190500"/>
        </a:xfrm>
        <a:prstGeom prst="rect">
          <a:avLst/>
        </a:prstGeom>
        <a:noFill/>
        <a:ln w="9525">
          <a:noFill/>
          <a:miter lim="800000"/>
          <a:headEnd/>
          <a:tailEnd/>
        </a:ln>
      </xdr:spPr>
    </xdr:sp>
    <xdr:clientData/>
  </xdr:twoCellAnchor>
  <xdr:twoCellAnchor>
    <xdr:from>
      <xdr:col>7</xdr:col>
      <xdr:colOff>523875</xdr:colOff>
      <xdr:row>198</xdr:row>
      <xdr:rowOff>9525</xdr:rowOff>
    </xdr:from>
    <xdr:to>
      <xdr:col>7</xdr:col>
      <xdr:colOff>952500</xdr:colOff>
      <xdr:row>198</xdr:row>
      <xdr:rowOff>200025</xdr:rowOff>
    </xdr:to>
    <xdr:sp macro="" textlink="">
      <xdr:nvSpPr>
        <xdr:cNvPr id="1180" name="Text Box 156"/>
        <xdr:cNvSpPr txBox="1">
          <a:spLocks noChangeArrowheads="1"/>
        </xdr:cNvSpPr>
      </xdr:nvSpPr>
      <xdr:spPr bwMode="auto">
        <a:xfrm>
          <a:off x="5629275" y="27746325"/>
          <a:ext cx="428625" cy="190500"/>
        </a:xfrm>
        <a:prstGeom prst="rect">
          <a:avLst/>
        </a:prstGeom>
        <a:noFill/>
        <a:ln w="9525">
          <a:noFill/>
          <a:miter lim="800000"/>
          <a:headEnd/>
          <a:tailEnd/>
        </a:ln>
      </xdr:spPr>
    </xdr:sp>
    <xdr:clientData/>
  </xdr:twoCellAnchor>
  <xdr:twoCellAnchor>
    <xdr:from>
      <xdr:col>7</xdr:col>
      <xdr:colOff>523875</xdr:colOff>
      <xdr:row>200</xdr:row>
      <xdr:rowOff>9525</xdr:rowOff>
    </xdr:from>
    <xdr:to>
      <xdr:col>7</xdr:col>
      <xdr:colOff>952500</xdr:colOff>
      <xdr:row>200</xdr:row>
      <xdr:rowOff>200025</xdr:rowOff>
    </xdr:to>
    <xdr:sp macro="" textlink="">
      <xdr:nvSpPr>
        <xdr:cNvPr id="1181" name="Text Box 157"/>
        <xdr:cNvSpPr txBox="1">
          <a:spLocks noChangeArrowheads="1"/>
        </xdr:cNvSpPr>
      </xdr:nvSpPr>
      <xdr:spPr bwMode="auto">
        <a:xfrm>
          <a:off x="5629275" y="28584525"/>
          <a:ext cx="428625" cy="161925"/>
        </a:xfrm>
        <a:prstGeom prst="rect">
          <a:avLst/>
        </a:prstGeom>
        <a:noFill/>
        <a:ln w="9525">
          <a:noFill/>
          <a:miter lim="800000"/>
          <a:headEnd/>
          <a:tailEnd/>
        </a:ln>
      </xdr:spPr>
    </xdr:sp>
    <xdr:clientData/>
  </xdr:twoCellAnchor>
  <xdr:twoCellAnchor>
    <xdr:from>
      <xdr:col>7</xdr:col>
      <xdr:colOff>523875</xdr:colOff>
      <xdr:row>201</xdr:row>
      <xdr:rowOff>9525</xdr:rowOff>
    </xdr:from>
    <xdr:to>
      <xdr:col>7</xdr:col>
      <xdr:colOff>952500</xdr:colOff>
      <xdr:row>201</xdr:row>
      <xdr:rowOff>200025</xdr:rowOff>
    </xdr:to>
    <xdr:sp macro="" textlink="">
      <xdr:nvSpPr>
        <xdr:cNvPr id="1182" name="Text Box 158"/>
        <xdr:cNvSpPr txBox="1">
          <a:spLocks noChangeArrowheads="1"/>
        </xdr:cNvSpPr>
      </xdr:nvSpPr>
      <xdr:spPr bwMode="auto">
        <a:xfrm>
          <a:off x="5629275" y="28755975"/>
          <a:ext cx="428625" cy="180975"/>
        </a:xfrm>
        <a:prstGeom prst="rect">
          <a:avLst/>
        </a:prstGeom>
        <a:noFill/>
        <a:ln w="9525">
          <a:noFill/>
          <a:miter lim="800000"/>
          <a:headEnd/>
          <a:tailEnd/>
        </a:ln>
      </xdr:spPr>
    </xdr:sp>
    <xdr:clientData/>
  </xdr:twoCellAnchor>
  <xdr:twoCellAnchor>
    <xdr:from>
      <xdr:col>7</xdr:col>
      <xdr:colOff>523875</xdr:colOff>
      <xdr:row>202</xdr:row>
      <xdr:rowOff>0</xdr:rowOff>
    </xdr:from>
    <xdr:to>
      <xdr:col>7</xdr:col>
      <xdr:colOff>952500</xdr:colOff>
      <xdr:row>202</xdr:row>
      <xdr:rowOff>0</xdr:rowOff>
    </xdr:to>
    <xdr:sp macro="" textlink="">
      <xdr:nvSpPr>
        <xdr:cNvPr id="1183" name="Text Box 159"/>
        <xdr:cNvSpPr txBox="1">
          <a:spLocks noChangeArrowheads="1"/>
        </xdr:cNvSpPr>
      </xdr:nvSpPr>
      <xdr:spPr bwMode="auto">
        <a:xfrm>
          <a:off x="5629275" y="28936950"/>
          <a:ext cx="428625" cy="0"/>
        </a:xfrm>
        <a:prstGeom prst="rect">
          <a:avLst/>
        </a:prstGeom>
        <a:noFill/>
        <a:ln w="9525">
          <a:noFill/>
          <a:miter lim="800000"/>
          <a:headEnd/>
          <a:tailEnd/>
        </a:ln>
      </xdr:spPr>
    </xdr:sp>
    <xdr:clientData/>
  </xdr:twoCellAnchor>
  <xdr:twoCellAnchor>
    <xdr:from>
      <xdr:col>7</xdr:col>
      <xdr:colOff>523875</xdr:colOff>
      <xdr:row>202</xdr:row>
      <xdr:rowOff>0</xdr:rowOff>
    </xdr:from>
    <xdr:to>
      <xdr:col>7</xdr:col>
      <xdr:colOff>952500</xdr:colOff>
      <xdr:row>202</xdr:row>
      <xdr:rowOff>0</xdr:rowOff>
    </xdr:to>
    <xdr:sp macro="" textlink="">
      <xdr:nvSpPr>
        <xdr:cNvPr id="1184" name="Text Box 160"/>
        <xdr:cNvSpPr txBox="1">
          <a:spLocks noChangeArrowheads="1"/>
        </xdr:cNvSpPr>
      </xdr:nvSpPr>
      <xdr:spPr bwMode="auto">
        <a:xfrm>
          <a:off x="5629275" y="28936950"/>
          <a:ext cx="428625" cy="0"/>
        </a:xfrm>
        <a:prstGeom prst="rect">
          <a:avLst/>
        </a:prstGeom>
        <a:noFill/>
        <a:ln w="9525">
          <a:noFill/>
          <a:miter lim="800000"/>
          <a:headEnd/>
          <a:tailEnd/>
        </a:ln>
      </xdr:spPr>
    </xdr:sp>
    <xdr:clientData/>
  </xdr:twoCellAnchor>
  <xdr:twoCellAnchor>
    <xdr:from>
      <xdr:col>7</xdr:col>
      <xdr:colOff>457200</xdr:colOff>
      <xdr:row>182</xdr:row>
      <xdr:rowOff>200025</xdr:rowOff>
    </xdr:from>
    <xdr:to>
      <xdr:col>8</xdr:col>
      <xdr:colOff>0</xdr:colOff>
      <xdr:row>186</xdr:row>
      <xdr:rowOff>19050</xdr:rowOff>
    </xdr:to>
    <xdr:sp macro="" textlink="">
      <xdr:nvSpPr>
        <xdr:cNvPr id="1190" name="Text Box 166"/>
        <xdr:cNvSpPr txBox="1">
          <a:spLocks noChangeArrowheads="1"/>
        </xdr:cNvSpPr>
      </xdr:nvSpPr>
      <xdr:spPr bwMode="auto">
        <a:xfrm>
          <a:off x="5562600" y="23698200"/>
          <a:ext cx="514350" cy="561975"/>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de-AT" sz="1000" b="0" i="0" u="none" strike="noStrike" baseline="0">
            <a:solidFill>
              <a:srgbClr val="000000"/>
            </a:solidFill>
            <a:latin typeface="Arial Narrow"/>
          </a:endParaRPr>
        </a:p>
        <a:p>
          <a:pPr algn="ctr" rtl="0">
            <a:defRPr sz="1000"/>
          </a:pPr>
          <a:endParaRPr lang="de-AT" sz="1000" b="0" i="0" u="none" strike="noStrike" baseline="0">
            <a:solidFill>
              <a:srgbClr val="000000"/>
            </a:solidFill>
            <a:latin typeface="Arial Narrow"/>
          </a:endParaRPr>
        </a:p>
      </xdr:txBody>
    </xdr:sp>
    <xdr:clientData/>
  </xdr:twoCellAnchor>
  <xdr:twoCellAnchor>
    <xdr:from>
      <xdr:col>2</xdr:col>
      <xdr:colOff>133163</xdr:colOff>
      <xdr:row>7</xdr:row>
      <xdr:rowOff>0</xdr:rowOff>
    </xdr:from>
    <xdr:to>
      <xdr:col>3</xdr:col>
      <xdr:colOff>318534</xdr:colOff>
      <xdr:row>8</xdr:row>
      <xdr:rowOff>0</xdr:rowOff>
    </xdr:to>
    <xdr:grpSp>
      <xdr:nvGrpSpPr>
        <xdr:cNvPr id="144" name="Group 186"/>
        <xdr:cNvGrpSpPr>
          <a:grpSpLocks/>
        </xdr:cNvGrpSpPr>
      </xdr:nvGrpSpPr>
      <xdr:grpSpPr bwMode="auto">
        <a:xfrm>
          <a:off x="761813" y="1375664"/>
          <a:ext cx="1335356" cy="0"/>
          <a:chOff x="60" y="495"/>
          <a:chExt cx="102" cy="22"/>
        </a:xfrm>
      </xdr:grpSpPr>
      <xdr:sp macro="" textlink="">
        <xdr:nvSpPr>
          <xdr:cNvPr id="145" name="Text Box 4"/>
          <xdr:cNvSpPr txBox="1">
            <a:spLocks noChangeArrowheads="1"/>
          </xdr:cNvSpPr>
        </xdr:nvSpPr>
        <xdr:spPr bwMode="auto">
          <a:xfrm>
            <a:off x="60" y="495"/>
            <a:ext cx="102"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Neubau</a:t>
            </a:r>
          </a:p>
        </xdr:txBody>
      </xdr:sp>
    </xdr:grpSp>
    <xdr:clientData/>
  </xdr:twoCellAnchor>
  <xdr:twoCellAnchor>
    <xdr:from>
      <xdr:col>2</xdr:col>
      <xdr:colOff>126270</xdr:colOff>
      <xdr:row>8</xdr:row>
      <xdr:rowOff>0</xdr:rowOff>
    </xdr:from>
    <xdr:to>
      <xdr:col>5</xdr:col>
      <xdr:colOff>448795</xdr:colOff>
      <xdr:row>9</xdr:row>
      <xdr:rowOff>9525</xdr:rowOff>
    </xdr:to>
    <xdr:grpSp>
      <xdr:nvGrpSpPr>
        <xdr:cNvPr id="148" name="Group 225"/>
        <xdr:cNvGrpSpPr>
          <a:grpSpLocks/>
        </xdr:cNvGrpSpPr>
      </xdr:nvGrpSpPr>
      <xdr:grpSpPr bwMode="auto">
        <a:xfrm>
          <a:off x="754285" y="1375664"/>
          <a:ext cx="3879795" cy="0"/>
          <a:chOff x="281" y="378"/>
          <a:chExt cx="311" cy="23"/>
        </a:xfrm>
      </xdr:grpSpPr>
      <xdr:sp macro="" textlink="">
        <xdr:nvSpPr>
          <xdr:cNvPr id="149" name="Text Box 227"/>
          <xdr:cNvSpPr txBox="1">
            <a:spLocks noChangeArrowheads="1"/>
          </xdr:cNvSpPr>
        </xdr:nvSpPr>
        <xdr:spPr bwMode="auto">
          <a:xfrm>
            <a:off x="281" y="378"/>
            <a:ext cx="311" cy="23"/>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größere Renovierung (über 25% der Gebäudehülle)</a:t>
            </a:r>
          </a:p>
        </xdr:txBody>
      </xdr:sp>
    </xdr:grpSp>
    <xdr:clientData/>
  </xdr:twoCellAnchor>
  <xdr:twoCellAnchor>
    <xdr:from>
      <xdr:col>1</xdr:col>
      <xdr:colOff>76200</xdr:colOff>
      <xdr:row>8</xdr:row>
      <xdr:rowOff>200025</xdr:rowOff>
    </xdr:from>
    <xdr:to>
      <xdr:col>3</xdr:col>
      <xdr:colOff>885825</xdr:colOff>
      <xdr:row>9</xdr:row>
      <xdr:rowOff>0</xdr:rowOff>
    </xdr:to>
    <xdr:grpSp>
      <xdr:nvGrpSpPr>
        <xdr:cNvPr id="150" name="Group 231"/>
        <xdr:cNvGrpSpPr>
          <a:grpSpLocks/>
        </xdr:cNvGrpSpPr>
      </xdr:nvGrpSpPr>
      <xdr:grpSpPr bwMode="auto">
        <a:xfrm>
          <a:off x="426720" y="1375664"/>
          <a:ext cx="2275840" cy="0"/>
          <a:chOff x="35" y="538"/>
          <a:chExt cx="187" cy="23"/>
        </a:xfrm>
      </xdr:grpSpPr>
      <xdr:sp macro="" textlink="">
        <xdr:nvSpPr>
          <xdr:cNvPr id="151" name="Text Box 230"/>
          <xdr:cNvSpPr txBox="1">
            <a:spLocks noChangeArrowheads="1"/>
          </xdr:cNvSpPr>
        </xdr:nvSpPr>
        <xdr:spPr bwMode="auto">
          <a:xfrm>
            <a:off x="65" y="539"/>
            <a:ext cx="157"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Zubau</a:t>
            </a:r>
          </a:p>
        </xdr:txBody>
      </xdr:sp>
    </xdr:grpSp>
    <xdr:clientData/>
  </xdr:twoCellAnchor>
  <xdr:twoCellAnchor>
    <xdr:from>
      <xdr:col>4</xdr:col>
      <xdr:colOff>76200</xdr:colOff>
      <xdr:row>9</xdr:row>
      <xdr:rowOff>0</xdr:rowOff>
    </xdr:from>
    <xdr:to>
      <xdr:col>5</xdr:col>
      <xdr:colOff>857250</xdr:colOff>
      <xdr:row>9</xdr:row>
      <xdr:rowOff>9525</xdr:rowOff>
    </xdr:to>
    <xdr:grpSp>
      <xdr:nvGrpSpPr>
        <xdr:cNvPr id="152" name="Group 241"/>
        <xdr:cNvGrpSpPr>
          <a:grpSpLocks/>
        </xdr:cNvGrpSpPr>
      </xdr:nvGrpSpPr>
      <xdr:grpSpPr bwMode="auto">
        <a:xfrm>
          <a:off x="3078480" y="1375664"/>
          <a:ext cx="1991360" cy="0"/>
          <a:chOff x="250" y="400"/>
          <a:chExt cx="184" cy="23"/>
        </a:xfrm>
      </xdr:grpSpPr>
      <xdr:sp macro="" textlink="">
        <xdr:nvSpPr>
          <xdr:cNvPr id="153" name="Text Box 242"/>
          <xdr:cNvSpPr txBox="1">
            <a:spLocks noChangeArrowheads="1"/>
          </xdr:cNvSpPr>
        </xdr:nvSpPr>
        <xdr:spPr bwMode="auto">
          <a:xfrm>
            <a:off x="280" y="400"/>
            <a:ext cx="154"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Sonstige Änderungen:</a:t>
            </a:r>
          </a:p>
        </xdr:txBody>
      </xdr:sp>
    </xdr:grpSp>
    <xdr:clientData/>
  </xdr:twoCellAnchor>
  <xdr:twoCellAnchor>
    <xdr:from>
      <xdr:col>5</xdr:col>
      <xdr:colOff>488841</xdr:colOff>
      <xdr:row>7</xdr:row>
      <xdr:rowOff>209547</xdr:rowOff>
    </xdr:from>
    <xdr:to>
      <xdr:col>6</xdr:col>
      <xdr:colOff>19050</xdr:colOff>
      <xdr:row>8</xdr:row>
      <xdr:rowOff>171450</xdr:rowOff>
    </xdr:to>
    <xdr:grpSp>
      <xdr:nvGrpSpPr>
        <xdr:cNvPr id="156" name="Group 247"/>
        <xdr:cNvGrpSpPr>
          <a:grpSpLocks/>
        </xdr:cNvGrpSpPr>
      </xdr:nvGrpSpPr>
      <xdr:grpSpPr bwMode="auto">
        <a:xfrm>
          <a:off x="4676666" y="1375664"/>
          <a:ext cx="1165334" cy="0"/>
          <a:chOff x="55" y="539"/>
          <a:chExt cx="358" cy="22"/>
        </a:xfrm>
      </xdr:grpSpPr>
      <xdr:sp macro="" textlink="">
        <xdr:nvSpPr>
          <xdr:cNvPr id="157" name="Text Box 249"/>
          <xdr:cNvSpPr txBox="1">
            <a:spLocks noChangeArrowheads="1"/>
          </xdr:cNvSpPr>
        </xdr:nvSpPr>
        <xdr:spPr bwMode="auto">
          <a:xfrm>
            <a:off x="55" y="539"/>
            <a:ext cx="358"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Umbau</a:t>
            </a:r>
          </a:p>
        </xdr:txBody>
      </xdr:sp>
    </xdr:grpSp>
    <xdr:clientData/>
  </xdr:twoCellAnchor>
  <xdr:twoCellAnchor>
    <xdr:from>
      <xdr:col>2</xdr:col>
      <xdr:colOff>116756</xdr:colOff>
      <xdr:row>11</xdr:row>
      <xdr:rowOff>0</xdr:rowOff>
    </xdr:from>
    <xdr:to>
      <xdr:col>3</xdr:col>
      <xdr:colOff>916254</xdr:colOff>
      <xdr:row>12</xdr:row>
      <xdr:rowOff>0</xdr:rowOff>
    </xdr:to>
    <xdr:grpSp>
      <xdr:nvGrpSpPr>
        <xdr:cNvPr id="177" name="Group 284"/>
        <xdr:cNvGrpSpPr>
          <a:grpSpLocks/>
        </xdr:cNvGrpSpPr>
      </xdr:nvGrpSpPr>
      <xdr:grpSpPr bwMode="auto">
        <a:xfrm>
          <a:off x="744136" y="1375664"/>
          <a:ext cx="1990758" cy="0"/>
          <a:chOff x="60" y="563"/>
          <a:chExt cx="164" cy="22"/>
        </a:xfrm>
      </xdr:grpSpPr>
      <xdr:sp macro="" textlink="">
        <xdr:nvSpPr>
          <xdr:cNvPr id="178" name="Text Box 18"/>
          <xdr:cNvSpPr txBox="1">
            <a:spLocks noChangeArrowheads="1"/>
          </xdr:cNvSpPr>
        </xdr:nvSpPr>
        <xdr:spPr bwMode="auto">
          <a:xfrm>
            <a:off x="60" y="563"/>
            <a:ext cx="164"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Wohnung/Wohnhaus</a:t>
            </a:r>
          </a:p>
        </xdr:txBody>
      </xdr:sp>
    </xdr:grpSp>
    <xdr:clientData/>
  </xdr:twoCellAnchor>
  <xdr:twoCellAnchor>
    <xdr:from>
      <xdr:col>2</xdr:col>
      <xdr:colOff>118258</xdr:colOff>
      <xdr:row>12</xdr:row>
      <xdr:rowOff>0</xdr:rowOff>
    </xdr:from>
    <xdr:to>
      <xdr:col>4</xdr:col>
      <xdr:colOff>311974</xdr:colOff>
      <xdr:row>13</xdr:row>
      <xdr:rowOff>0</xdr:rowOff>
    </xdr:to>
    <xdr:grpSp>
      <xdr:nvGrpSpPr>
        <xdr:cNvPr id="179" name="Group 20"/>
        <xdr:cNvGrpSpPr>
          <a:grpSpLocks/>
        </xdr:cNvGrpSpPr>
      </xdr:nvGrpSpPr>
      <xdr:grpSpPr bwMode="auto">
        <a:xfrm>
          <a:off x="745638" y="1375664"/>
          <a:ext cx="2584491" cy="0"/>
          <a:chOff x="70" y="466"/>
          <a:chExt cx="204" cy="22"/>
        </a:xfrm>
      </xdr:grpSpPr>
      <xdr:sp macro="" textlink="">
        <xdr:nvSpPr>
          <xdr:cNvPr id="180" name="Text Box 21"/>
          <xdr:cNvSpPr txBox="1">
            <a:spLocks noChangeArrowheads="1"/>
          </xdr:cNvSpPr>
        </xdr:nvSpPr>
        <xdr:spPr bwMode="auto">
          <a:xfrm>
            <a:off x="70" y="466"/>
            <a:ext cx="204"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Land-/Forstwirtschaftlich</a:t>
            </a:r>
          </a:p>
        </xdr:txBody>
      </xdr:sp>
    </xdr:grpSp>
    <xdr:clientData/>
  </xdr:twoCellAnchor>
  <xdr:twoCellAnchor>
    <xdr:from>
      <xdr:col>2</xdr:col>
      <xdr:colOff>115832</xdr:colOff>
      <xdr:row>13</xdr:row>
      <xdr:rowOff>0</xdr:rowOff>
    </xdr:from>
    <xdr:to>
      <xdr:col>3</xdr:col>
      <xdr:colOff>1156594</xdr:colOff>
      <xdr:row>14</xdr:row>
      <xdr:rowOff>0</xdr:rowOff>
    </xdr:to>
    <xdr:grpSp>
      <xdr:nvGrpSpPr>
        <xdr:cNvPr id="181" name="Group 23"/>
        <xdr:cNvGrpSpPr>
          <a:grpSpLocks/>
        </xdr:cNvGrpSpPr>
      </xdr:nvGrpSpPr>
      <xdr:grpSpPr bwMode="auto">
        <a:xfrm>
          <a:off x="743212" y="1375664"/>
          <a:ext cx="2247897" cy="0"/>
          <a:chOff x="58" y="628"/>
          <a:chExt cx="172" cy="22"/>
        </a:xfrm>
      </xdr:grpSpPr>
      <xdr:sp macro="" textlink="">
        <xdr:nvSpPr>
          <xdr:cNvPr id="182" name="Text Box 24"/>
          <xdr:cNvSpPr txBox="1">
            <a:spLocks noChangeArrowheads="1"/>
          </xdr:cNvSpPr>
        </xdr:nvSpPr>
        <xdr:spPr bwMode="auto">
          <a:xfrm>
            <a:off x="58" y="628"/>
            <a:ext cx="172"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Handel/Verwaltung</a:t>
            </a:r>
          </a:p>
        </xdr:txBody>
      </xdr:sp>
    </xdr:grpSp>
    <xdr:clientData/>
  </xdr:twoCellAnchor>
  <xdr:twoCellAnchor>
    <xdr:from>
      <xdr:col>2</xdr:col>
      <xdr:colOff>127400</xdr:colOff>
      <xdr:row>14</xdr:row>
      <xdr:rowOff>15764</xdr:rowOff>
    </xdr:from>
    <xdr:to>
      <xdr:col>3</xdr:col>
      <xdr:colOff>950911</xdr:colOff>
      <xdr:row>15</xdr:row>
      <xdr:rowOff>59662</xdr:rowOff>
    </xdr:to>
    <xdr:grpSp>
      <xdr:nvGrpSpPr>
        <xdr:cNvPr id="183" name="Group 285"/>
        <xdr:cNvGrpSpPr>
          <a:grpSpLocks/>
        </xdr:cNvGrpSpPr>
      </xdr:nvGrpSpPr>
      <xdr:grpSpPr bwMode="auto">
        <a:xfrm>
          <a:off x="755415" y="1375664"/>
          <a:ext cx="2016676" cy="0"/>
          <a:chOff x="64" y="628"/>
          <a:chExt cx="163" cy="4"/>
        </a:xfrm>
      </xdr:grpSpPr>
      <xdr:sp macro="" textlink="">
        <xdr:nvSpPr>
          <xdr:cNvPr id="184" name="Text Box 27"/>
          <xdr:cNvSpPr txBox="1">
            <a:spLocks noChangeArrowheads="1"/>
          </xdr:cNvSpPr>
        </xdr:nvSpPr>
        <xdr:spPr bwMode="auto">
          <a:xfrm>
            <a:off x="64" y="628"/>
            <a:ext cx="163" cy="4"/>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Gewerbe/Industrie</a:t>
            </a:r>
          </a:p>
        </xdr:txBody>
      </xdr:sp>
    </xdr:grpSp>
    <xdr:clientData/>
  </xdr:twoCellAnchor>
  <xdr:twoCellAnchor>
    <xdr:from>
      <xdr:col>4</xdr:col>
      <xdr:colOff>399686</xdr:colOff>
      <xdr:row>11</xdr:row>
      <xdr:rowOff>0</xdr:rowOff>
    </xdr:from>
    <xdr:to>
      <xdr:col>7</xdr:col>
      <xdr:colOff>626282</xdr:colOff>
      <xdr:row>12</xdr:row>
      <xdr:rowOff>28575</xdr:rowOff>
    </xdr:to>
    <xdr:grpSp>
      <xdr:nvGrpSpPr>
        <xdr:cNvPr id="185" name="Group 372"/>
        <xdr:cNvGrpSpPr>
          <a:grpSpLocks/>
        </xdr:cNvGrpSpPr>
      </xdr:nvGrpSpPr>
      <xdr:grpSpPr bwMode="auto">
        <a:xfrm>
          <a:off x="3423556" y="1375664"/>
          <a:ext cx="4275356" cy="0"/>
          <a:chOff x="265" y="553"/>
          <a:chExt cx="337" cy="25"/>
        </a:xfrm>
      </xdr:grpSpPr>
      <xdr:sp macro="" textlink="">
        <xdr:nvSpPr>
          <xdr:cNvPr id="186" name="Text Box 30"/>
          <xdr:cNvSpPr txBox="1">
            <a:spLocks noChangeArrowheads="1"/>
          </xdr:cNvSpPr>
        </xdr:nvSpPr>
        <xdr:spPr bwMode="auto">
          <a:xfrm>
            <a:off x="265" y="553"/>
            <a:ext cx="337" cy="25"/>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Wohnanlage gemäß § 2 Abs. 5 TBO 2001</a:t>
            </a:r>
          </a:p>
        </xdr:txBody>
      </xdr:sp>
    </xdr:grpSp>
    <xdr:clientData/>
  </xdr:twoCellAnchor>
  <xdr:twoCellAnchor>
    <xdr:from>
      <xdr:col>4</xdr:col>
      <xdr:colOff>409282</xdr:colOff>
      <xdr:row>12</xdr:row>
      <xdr:rowOff>0</xdr:rowOff>
    </xdr:from>
    <xdr:to>
      <xdr:col>6</xdr:col>
      <xdr:colOff>587839</xdr:colOff>
      <xdr:row>13</xdr:row>
      <xdr:rowOff>0</xdr:rowOff>
    </xdr:to>
    <xdr:grpSp>
      <xdr:nvGrpSpPr>
        <xdr:cNvPr id="187" name="Group 32"/>
        <xdr:cNvGrpSpPr>
          <a:grpSpLocks/>
        </xdr:cNvGrpSpPr>
      </xdr:nvGrpSpPr>
      <xdr:grpSpPr bwMode="auto">
        <a:xfrm>
          <a:off x="3433787" y="1375664"/>
          <a:ext cx="3015102" cy="0"/>
          <a:chOff x="265" y="466"/>
          <a:chExt cx="231" cy="22"/>
        </a:xfrm>
      </xdr:grpSpPr>
      <xdr:sp macro="" textlink="">
        <xdr:nvSpPr>
          <xdr:cNvPr id="188" name="Text Box 33"/>
          <xdr:cNvSpPr txBox="1">
            <a:spLocks noChangeArrowheads="1"/>
          </xdr:cNvSpPr>
        </xdr:nvSpPr>
        <xdr:spPr bwMode="auto">
          <a:xfrm>
            <a:off x="265" y="466"/>
            <a:ext cx="231"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Nebengebäude oder Nebenanlage</a:t>
            </a:r>
          </a:p>
        </xdr:txBody>
      </xdr:sp>
    </xdr:grpSp>
    <xdr:clientData/>
  </xdr:twoCellAnchor>
  <xdr:twoCellAnchor>
    <xdr:from>
      <xdr:col>4</xdr:col>
      <xdr:colOff>414992</xdr:colOff>
      <xdr:row>13</xdr:row>
      <xdr:rowOff>0</xdr:rowOff>
    </xdr:from>
    <xdr:to>
      <xdr:col>6</xdr:col>
      <xdr:colOff>22639</xdr:colOff>
      <xdr:row>13</xdr:row>
      <xdr:rowOff>190500</xdr:rowOff>
    </xdr:to>
    <xdr:grpSp>
      <xdr:nvGrpSpPr>
        <xdr:cNvPr id="189" name="Group 251"/>
        <xdr:cNvGrpSpPr>
          <a:grpSpLocks/>
        </xdr:cNvGrpSpPr>
      </xdr:nvGrpSpPr>
      <xdr:grpSpPr bwMode="auto">
        <a:xfrm>
          <a:off x="3440132" y="1375664"/>
          <a:ext cx="2405457" cy="0"/>
          <a:chOff x="264" y="649"/>
          <a:chExt cx="172" cy="20"/>
        </a:xfrm>
      </xdr:grpSpPr>
      <xdr:sp macro="" textlink="">
        <xdr:nvSpPr>
          <xdr:cNvPr id="190" name="Text Box 35"/>
          <xdr:cNvSpPr txBox="1">
            <a:spLocks noChangeArrowheads="1"/>
          </xdr:cNvSpPr>
        </xdr:nvSpPr>
        <xdr:spPr bwMode="auto">
          <a:xfrm>
            <a:off x="264" y="649"/>
            <a:ext cx="172" cy="2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Freizeitwohnsitz</a:t>
            </a:r>
          </a:p>
        </xdr:txBody>
      </xdr:sp>
    </xdr:grpSp>
    <xdr:clientData/>
  </xdr:twoCellAnchor>
  <xdr:twoCellAnchor>
    <xdr:from>
      <xdr:col>4</xdr:col>
      <xdr:colOff>409465</xdr:colOff>
      <xdr:row>13</xdr:row>
      <xdr:rowOff>209512</xdr:rowOff>
    </xdr:from>
    <xdr:to>
      <xdr:col>5</xdr:col>
      <xdr:colOff>838201</xdr:colOff>
      <xdr:row>15</xdr:row>
      <xdr:rowOff>35577</xdr:rowOff>
    </xdr:to>
    <xdr:grpSp>
      <xdr:nvGrpSpPr>
        <xdr:cNvPr id="191" name="Group 169"/>
        <xdr:cNvGrpSpPr>
          <a:grpSpLocks/>
        </xdr:cNvGrpSpPr>
      </xdr:nvGrpSpPr>
      <xdr:grpSpPr bwMode="auto">
        <a:xfrm>
          <a:off x="3433970" y="1375664"/>
          <a:ext cx="1615551" cy="0"/>
          <a:chOff x="249" y="693"/>
          <a:chExt cx="179" cy="4"/>
        </a:xfrm>
      </xdr:grpSpPr>
      <xdr:sp macro="" textlink="">
        <xdr:nvSpPr>
          <xdr:cNvPr id="192" name="Text Box 38"/>
          <xdr:cNvSpPr txBox="1">
            <a:spLocks noChangeArrowheads="1"/>
          </xdr:cNvSpPr>
        </xdr:nvSpPr>
        <xdr:spPr bwMode="auto">
          <a:xfrm>
            <a:off x="249" y="693"/>
            <a:ext cx="179" cy="4"/>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Sonstige Verwendung: </a:t>
            </a:r>
          </a:p>
        </xdr:txBody>
      </xdr:sp>
    </xdr:grpSp>
    <xdr:clientData/>
  </xdr:twoCellAnchor>
  <xdr:twoCellAnchor>
    <xdr:from>
      <xdr:col>2</xdr:col>
      <xdr:colOff>42964</xdr:colOff>
      <xdr:row>29</xdr:row>
      <xdr:rowOff>166418</xdr:rowOff>
    </xdr:from>
    <xdr:to>
      <xdr:col>7</xdr:col>
      <xdr:colOff>809623</xdr:colOff>
      <xdr:row>31</xdr:row>
      <xdr:rowOff>40522</xdr:rowOff>
    </xdr:to>
    <xdr:grpSp>
      <xdr:nvGrpSpPr>
        <xdr:cNvPr id="200" name="Group 20"/>
        <xdr:cNvGrpSpPr>
          <a:grpSpLocks/>
        </xdr:cNvGrpSpPr>
      </xdr:nvGrpSpPr>
      <xdr:grpSpPr bwMode="auto">
        <a:xfrm>
          <a:off x="665899" y="1375664"/>
          <a:ext cx="7228419" cy="0"/>
          <a:chOff x="57" y="468"/>
          <a:chExt cx="218" cy="16"/>
        </a:xfrm>
      </xdr:grpSpPr>
      <xdr:sp macro="" textlink="">
        <xdr:nvSpPr>
          <xdr:cNvPr id="201" name="Text Box 21"/>
          <xdr:cNvSpPr txBox="1">
            <a:spLocks noChangeArrowheads="1"/>
          </xdr:cNvSpPr>
        </xdr:nvSpPr>
        <xdr:spPr bwMode="auto">
          <a:xfrm>
            <a:off x="57" y="468"/>
            <a:ext cx="218" cy="16"/>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Wärmepumpe </a:t>
            </a:r>
          </a:p>
        </xdr:txBody>
      </xdr:sp>
    </xdr:grpSp>
    <xdr:clientData/>
  </xdr:twoCellAnchor>
  <xdr:twoCellAnchor>
    <xdr:from>
      <xdr:col>2</xdr:col>
      <xdr:colOff>0</xdr:colOff>
      <xdr:row>39</xdr:row>
      <xdr:rowOff>0</xdr:rowOff>
    </xdr:from>
    <xdr:to>
      <xdr:col>7</xdr:col>
      <xdr:colOff>778967</xdr:colOff>
      <xdr:row>39</xdr:row>
      <xdr:rowOff>203183</xdr:rowOff>
    </xdr:to>
    <xdr:grpSp>
      <xdr:nvGrpSpPr>
        <xdr:cNvPr id="202" name="Group 23"/>
        <xdr:cNvGrpSpPr>
          <a:grpSpLocks/>
        </xdr:cNvGrpSpPr>
      </xdr:nvGrpSpPr>
      <xdr:grpSpPr bwMode="auto">
        <a:xfrm>
          <a:off x="619760" y="1375664"/>
          <a:ext cx="7241997" cy="0"/>
          <a:chOff x="42" y="628"/>
          <a:chExt cx="190" cy="6"/>
        </a:xfrm>
      </xdr:grpSpPr>
      <xdr:sp macro="" textlink="">
        <xdr:nvSpPr>
          <xdr:cNvPr id="203" name="Text Box 24"/>
          <xdr:cNvSpPr txBox="1">
            <a:spLocks noChangeArrowheads="1"/>
          </xdr:cNvSpPr>
        </xdr:nvSpPr>
        <xdr:spPr bwMode="auto">
          <a:xfrm>
            <a:off x="42" y="628"/>
            <a:ext cx="190" cy="6"/>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Energieversorgungssystem auf der Grundlage von nicht erneuerbaren Energiequellen</a:t>
            </a:r>
          </a:p>
        </xdr:txBody>
      </xdr:sp>
    </xdr:grpSp>
    <xdr:clientData/>
  </xdr:twoCellAnchor>
  <xdr:twoCellAnchor>
    <xdr:from>
      <xdr:col>6</xdr:col>
      <xdr:colOff>400050</xdr:colOff>
      <xdr:row>7</xdr:row>
      <xdr:rowOff>190500</xdr:rowOff>
    </xdr:from>
    <xdr:to>
      <xdr:col>7</xdr:col>
      <xdr:colOff>904875</xdr:colOff>
      <xdr:row>9</xdr:row>
      <xdr:rowOff>38100</xdr:rowOff>
    </xdr:to>
    <xdr:grpSp>
      <xdr:nvGrpSpPr>
        <xdr:cNvPr id="204" name="Group 247"/>
        <xdr:cNvGrpSpPr>
          <a:grpSpLocks/>
        </xdr:cNvGrpSpPr>
      </xdr:nvGrpSpPr>
      <xdr:grpSpPr bwMode="auto">
        <a:xfrm>
          <a:off x="6248400" y="1375664"/>
          <a:ext cx="1747520" cy="0"/>
          <a:chOff x="55" y="539"/>
          <a:chExt cx="358" cy="22"/>
        </a:xfrm>
      </xdr:grpSpPr>
      <xdr:sp macro="" textlink="">
        <xdr:nvSpPr>
          <xdr:cNvPr id="205" name="Text Box 249"/>
          <xdr:cNvSpPr txBox="1">
            <a:spLocks noChangeArrowheads="1"/>
          </xdr:cNvSpPr>
        </xdr:nvSpPr>
        <xdr:spPr bwMode="auto">
          <a:xfrm>
            <a:off x="55" y="539"/>
            <a:ext cx="358" cy="22"/>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Zubau</a:t>
            </a:r>
          </a:p>
        </xdr:txBody>
      </xdr:sp>
    </xdr:grpSp>
    <xdr:clientData/>
  </xdr:twoCellAnchor>
  <xdr:twoCellAnchor>
    <xdr:from>
      <xdr:col>11</xdr:col>
      <xdr:colOff>222475</xdr:colOff>
      <xdr:row>49</xdr:row>
      <xdr:rowOff>70928</xdr:rowOff>
    </xdr:from>
    <xdr:to>
      <xdr:col>19</xdr:col>
      <xdr:colOff>315642</xdr:colOff>
      <xdr:row>50</xdr:row>
      <xdr:rowOff>35986</xdr:rowOff>
    </xdr:to>
    <xdr:grpSp>
      <xdr:nvGrpSpPr>
        <xdr:cNvPr id="124" name="Group 23"/>
        <xdr:cNvGrpSpPr>
          <a:grpSpLocks/>
        </xdr:cNvGrpSpPr>
      </xdr:nvGrpSpPr>
      <xdr:grpSpPr bwMode="auto">
        <a:xfrm>
          <a:off x="8138160" y="1375664"/>
          <a:ext cx="0" cy="0"/>
          <a:chOff x="52" y="621"/>
          <a:chExt cx="190" cy="6"/>
        </a:xfrm>
      </xdr:grpSpPr>
      <xdr:sp macro="" textlink="">
        <xdr:nvSpPr>
          <xdr:cNvPr id="125" name="Text Box 24"/>
          <xdr:cNvSpPr txBox="1">
            <a:spLocks noChangeArrowheads="1"/>
          </xdr:cNvSpPr>
        </xdr:nvSpPr>
        <xdr:spPr bwMode="auto">
          <a:xfrm>
            <a:off x="52" y="621"/>
            <a:ext cx="190" cy="6"/>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Photovoltaikanlage zur Stromerzeugung</a:t>
            </a:r>
          </a:p>
        </xdr:txBody>
      </xdr:sp>
    </xdr:grpSp>
    <xdr:clientData/>
  </xdr:twoCellAnchor>
  <xdr:twoCellAnchor>
    <xdr:from>
      <xdr:col>3</xdr:col>
      <xdr:colOff>1104899</xdr:colOff>
      <xdr:row>21</xdr:row>
      <xdr:rowOff>28575</xdr:rowOff>
    </xdr:from>
    <xdr:to>
      <xdr:col>4</xdr:col>
      <xdr:colOff>457200</xdr:colOff>
      <xdr:row>22</xdr:row>
      <xdr:rowOff>28575</xdr:rowOff>
    </xdr:to>
    <xdr:sp macro="" textlink="">
      <xdr:nvSpPr>
        <xdr:cNvPr id="64" name="Textfeld 63"/>
        <xdr:cNvSpPr txBox="1"/>
      </xdr:nvSpPr>
      <xdr:spPr>
        <a:xfrm>
          <a:off x="2771774" y="7181850"/>
          <a:ext cx="514351"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900" i="1">
              <a:latin typeface="Arial" pitchFamily="34" charset="0"/>
              <a:cs typeface="Arial" pitchFamily="34" charset="0"/>
            </a:rPr>
            <a:t>HWB</a:t>
          </a:r>
        </a:p>
      </xdr:txBody>
    </xdr:sp>
    <xdr:clientData/>
  </xdr:twoCellAnchor>
  <xdr:twoCellAnchor>
    <xdr:from>
      <xdr:col>3</xdr:col>
      <xdr:colOff>1104899</xdr:colOff>
      <xdr:row>23</xdr:row>
      <xdr:rowOff>38100</xdr:rowOff>
    </xdr:from>
    <xdr:to>
      <xdr:col>4</xdr:col>
      <xdr:colOff>457200</xdr:colOff>
      <xdr:row>24</xdr:row>
      <xdr:rowOff>38100</xdr:rowOff>
    </xdr:to>
    <xdr:sp macro="" textlink="">
      <xdr:nvSpPr>
        <xdr:cNvPr id="65" name="Textfeld 64"/>
        <xdr:cNvSpPr txBox="1"/>
      </xdr:nvSpPr>
      <xdr:spPr>
        <a:xfrm>
          <a:off x="2771774" y="7534275"/>
          <a:ext cx="514351"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900" i="1">
              <a:latin typeface="Arial" pitchFamily="34" charset="0"/>
              <a:cs typeface="Arial" pitchFamily="34" charset="0"/>
            </a:rPr>
            <a:t>EEB</a:t>
          </a:r>
        </a:p>
      </xdr:txBody>
    </xdr:sp>
    <xdr:clientData/>
  </xdr:twoCellAnchor>
  <xdr:twoCellAnchor>
    <xdr:from>
      <xdr:col>5</xdr:col>
      <xdr:colOff>9525</xdr:colOff>
      <xdr:row>54</xdr:row>
      <xdr:rowOff>180975</xdr:rowOff>
    </xdr:from>
    <xdr:to>
      <xdr:col>5</xdr:col>
      <xdr:colOff>1190625</xdr:colOff>
      <xdr:row>56</xdr:row>
      <xdr:rowOff>9525</xdr:rowOff>
    </xdr:to>
    <xdr:sp macro="" textlink="">
      <xdr:nvSpPr>
        <xdr:cNvPr id="2" name="Textfeld 1">
          <a:hlinkClick xmlns:r="http://schemas.openxmlformats.org/officeDocument/2006/relationships" r:id="rId1"/>
        </xdr:cNvPr>
        <xdr:cNvSpPr txBox="1"/>
      </xdr:nvSpPr>
      <xdr:spPr>
        <a:xfrm>
          <a:off x="3924300" y="19783425"/>
          <a:ext cx="1181100" cy="2286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AT" sz="1100" u="sng">
              <a:solidFill>
                <a:srgbClr val="0060A8"/>
              </a:solidFill>
            </a:rPr>
            <a:t>hier klicken</a:t>
          </a:r>
        </a:p>
      </xdr:txBody>
    </xdr:sp>
    <xdr:clientData/>
  </xdr:twoCellAnchor>
  <xdr:twoCellAnchor editAs="oneCell">
    <xdr:from>
      <xdr:col>7</xdr:col>
      <xdr:colOff>342900</xdr:colOff>
      <xdr:row>0</xdr:row>
      <xdr:rowOff>0</xdr:rowOff>
    </xdr:from>
    <xdr:to>
      <xdr:col>8</xdr:col>
      <xdr:colOff>0</xdr:colOff>
      <xdr:row>2</xdr:row>
      <xdr:rowOff>11284</xdr:rowOff>
    </xdr:to>
    <xdr:pic>
      <xdr:nvPicPr>
        <xdr:cNvPr id="70" name="Grafik 69" descr="ET CMYK 35mmText_links.jpg"/>
        <xdr:cNvPicPr>
          <a:picLocks noChangeAspect="1"/>
        </xdr:cNvPicPr>
      </xdr:nvPicPr>
      <xdr:blipFill>
        <a:blip xmlns:r="http://schemas.openxmlformats.org/officeDocument/2006/relationships" r:embed="rId2" cstate="print"/>
        <a:srcRect l="47630" b="2655"/>
        <a:stretch>
          <a:fillRect/>
        </a:stretch>
      </xdr:blipFill>
      <xdr:spPr>
        <a:xfrm>
          <a:off x="6934200" y="0"/>
          <a:ext cx="703928" cy="697084"/>
        </a:xfrm>
        <a:prstGeom prst="rect">
          <a:avLst/>
        </a:prstGeom>
      </xdr:spPr>
    </xdr:pic>
    <xdr:clientData/>
  </xdr:twoCellAnchor>
  <xdr:twoCellAnchor>
    <xdr:from>
      <xdr:col>5</xdr:col>
      <xdr:colOff>752475</xdr:colOff>
      <xdr:row>74</xdr:row>
      <xdr:rowOff>19050</xdr:rowOff>
    </xdr:from>
    <xdr:to>
      <xdr:col>6</xdr:col>
      <xdr:colOff>981075</xdr:colOff>
      <xdr:row>75</xdr:row>
      <xdr:rowOff>76200</xdr:rowOff>
    </xdr:to>
    <xdr:sp macro="" textlink="">
      <xdr:nvSpPr>
        <xdr:cNvPr id="72" name="Textfeld 71">
          <a:hlinkClick xmlns:r="http://schemas.openxmlformats.org/officeDocument/2006/relationships" r:id="rId3"/>
        </xdr:cNvPr>
        <xdr:cNvSpPr txBox="1"/>
      </xdr:nvSpPr>
      <xdr:spPr>
        <a:xfrm>
          <a:off x="4648200" y="23326725"/>
          <a:ext cx="1790700" cy="266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AT" sz="1100"/>
            <a:t>Bundesgesetz  </a:t>
          </a:r>
          <a:r>
            <a:rPr lang="de-AT" sz="1100" u="sng">
              <a:solidFill>
                <a:srgbClr val="0060A8"/>
              </a:solidFill>
            </a:rPr>
            <a:t>hier klicken</a:t>
          </a:r>
        </a:p>
      </xdr:txBody>
    </xdr:sp>
    <xdr:clientData/>
  </xdr:twoCellAnchor>
  <mc:AlternateContent xmlns:mc="http://schemas.openxmlformats.org/markup-compatibility/2006">
    <mc:Choice xmlns:a14="http://schemas.microsoft.com/office/drawing/2010/main" Requires="a14">
      <xdr:twoCellAnchor editAs="oneCell">
        <xdr:from>
          <xdr:col>6</xdr:col>
          <xdr:colOff>371475</xdr:colOff>
          <xdr:row>54</xdr:row>
          <xdr:rowOff>9525</xdr:rowOff>
        </xdr:from>
        <xdr:to>
          <xdr:col>7</xdr:col>
          <xdr:colOff>514350</xdr:colOff>
          <xdr:row>55</xdr:row>
          <xdr:rowOff>19050</xdr:rowOff>
        </xdr:to>
        <xdr:sp macro="" textlink="">
          <xdr:nvSpPr>
            <xdr:cNvPr id="1414" name="Drop Down 390" hidden="1">
              <a:extLst>
                <a:ext uri="{63B3BB69-23CF-44E3-9099-C40C66FF867C}">
                  <a14:compatExt spid="_x0000_s14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57</xdr:row>
          <xdr:rowOff>0</xdr:rowOff>
        </xdr:from>
        <xdr:to>
          <xdr:col>7</xdr:col>
          <xdr:colOff>514350</xdr:colOff>
          <xdr:row>57</xdr:row>
          <xdr:rowOff>200025</xdr:rowOff>
        </xdr:to>
        <xdr:sp macro="" textlink="">
          <xdr:nvSpPr>
            <xdr:cNvPr id="1415" name="Drop Down 391" hidden="1">
              <a:extLst>
                <a:ext uri="{63B3BB69-23CF-44E3-9099-C40C66FF867C}">
                  <a14:compatExt spid="_x0000_s14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58</xdr:row>
          <xdr:rowOff>200025</xdr:rowOff>
        </xdr:from>
        <xdr:to>
          <xdr:col>7</xdr:col>
          <xdr:colOff>504825</xdr:colOff>
          <xdr:row>59</xdr:row>
          <xdr:rowOff>190500</xdr:rowOff>
        </xdr:to>
        <xdr:sp macro="" textlink="">
          <xdr:nvSpPr>
            <xdr:cNvPr id="1416" name="Drop Down 392" hidden="1">
              <a:extLst>
                <a:ext uri="{63B3BB69-23CF-44E3-9099-C40C66FF867C}">
                  <a14:compatExt spid="_x0000_s14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60</xdr:row>
          <xdr:rowOff>200025</xdr:rowOff>
        </xdr:from>
        <xdr:to>
          <xdr:col>7</xdr:col>
          <xdr:colOff>504825</xdr:colOff>
          <xdr:row>61</xdr:row>
          <xdr:rowOff>190500</xdr:rowOff>
        </xdr:to>
        <xdr:sp macro="" textlink="">
          <xdr:nvSpPr>
            <xdr:cNvPr id="1417" name="Drop Down 393" hidden="1">
              <a:extLst>
                <a:ext uri="{63B3BB69-23CF-44E3-9099-C40C66FF867C}">
                  <a14:compatExt spid="_x0000_s14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257175</xdr:colOff>
          <xdr:row>7</xdr:row>
          <xdr:rowOff>200025</xdr:rowOff>
        </xdr:from>
        <xdr:to>
          <xdr:col>5</xdr:col>
          <xdr:colOff>561975</xdr:colOff>
          <xdr:row>8</xdr:row>
          <xdr:rowOff>200025</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7</xdr:row>
          <xdr:rowOff>200025</xdr:rowOff>
        </xdr:from>
        <xdr:to>
          <xdr:col>2</xdr:col>
          <xdr:colOff>0</xdr:colOff>
          <xdr:row>9</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7</xdr:row>
          <xdr:rowOff>0</xdr:rowOff>
        </xdr:from>
        <xdr:to>
          <xdr:col>2</xdr:col>
          <xdr:colOff>0</xdr:colOff>
          <xdr:row>8</xdr:row>
          <xdr:rowOff>9525</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13</xdr:row>
          <xdr:rowOff>161925</xdr:rowOff>
        </xdr:from>
        <xdr:to>
          <xdr:col>4</xdr:col>
          <xdr:colOff>371475</xdr:colOff>
          <xdr:row>15</xdr:row>
          <xdr:rowOff>19050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12</xdr:row>
          <xdr:rowOff>190500</xdr:rowOff>
        </xdr:from>
        <xdr:to>
          <xdr:col>4</xdr:col>
          <xdr:colOff>371475</xdr:colOff>
          <xdr:row>13</xdr:row>
          <xdr:rowOff>200025</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11</xdr:row>
          <xdr:rowOff>180975</xdr:rowOff>
        </xdr:from>
        <xdr:to>
          <xdr:col>4</xdr:col>
          <xdr:colOff>371475</xdr:colOff>
          <xdr:row>12</xdr:row>
          <xdr:rowOff>200025</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10</xdr:row>
          <xdr:rowOff>238125</xdr:rowOff>
        </xdr:from>
        <xdr:to>
          <xdr:col>4</xdr:col>
          <xdr:colOff>371475</xdr:colOff>
          <xdr:row>12</xdr:row>
          <xdr:rowOff>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xdr:row>
          <xdr:rowOff>171450</xdr:rowOff>
        </xdr:from>
        <xdr:to>
          <xdr:col>2</xdr:col>
          <xdr:colOff>76200</xdr:colOff>
          <xdr:row>15</xdr:row>
          <xdr:rowOff>47625</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xdr:row>
          <xdr:rowOff>190500</xdr:rowOff>
        </xdr:from>
        <xdr:to>
          <xdr:col>2</xdr:col>
          <xdr:colOff>0</xdr:colOff>
          <xdr:row>13</xdr:row>
          <xdr:rowOff>200025</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xdr:row>
          <xdr:rowOff>180975</xdr:rowOff>
        </xdr:from>
        <xdr:to>
          <xdr:col>2</xdr:col>
          <xdr:colOff>0</xdr:colOff>
          <xdr:row>12</xdr:row>
          <xdr:rowOff>200025</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xdr:row>
          <xdr:rowOff>228600</xdr:rowOff>
        </xdr:from>
        <xdr:to>
          <xdr:col>2</xdr:col>
          <xdr:colOff>0</xdr:colOff>
          <xdr:row>11</xdr:row>
          <xdr:rowOff>200025</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161925</xdr:colOff>
          <xdr:row>7</xdr:row>
          <xdr:rowOff>180975</xdr:rowOff>
        </xdr:from>
        <xdr:to>
          <xdr:col>6</xdr:col>
          <xdr:colOff>466725</xdr:colOff>
          <xdr:row>8</xdr:row>
          <xdr:rowOff>180975</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72</xdr:row>
          <xdr:rowOff>0</xdr:rowOff>
        </xdr:from>
        <xdr:to>
          <xdr:col>5</xdr:col>
          <xdr:colOff>790575</xdr:colOff>
          <xdr:row>73</xdr:row>
          <xdr:rowOff>9525</xdr:rowOff>
        </xdr:to>
        <xdr:sp macro="" textlink="">
          <xdr:nvSpPr>
            <xdr:cNvPr id="1483" name="Drop Down 459" hidden="1">
              <a:extLst>
                <a:ext uri="{63B3BB69-23CF-44E3-9099-C40C66FF867C}">
                  <a14:compatExt spid="_x0000_s14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73</xdr:row>
          <xdr:rowOff>38100</xdr:rowOff>
        </xdr:from>
        <xdr:to>
          <xdr:col>5</xdr:col>
          <xdr:colOff>790575</xdr:colOff>
          <xdr:row>74</xdr:row>
          <xdr:rowOff>28575</xdr:rowOff>
        </xdr:to>
        <xdr:sp macro="" textlink="">
          <xdr:nvSpPr>
            <xdr:cNvPr id="1484" name="Drop Down 460" hidden="1">
              <a:extLst>
                <a:ext uri="{63B3BB69-23CF-44E3-9099-C40C66FF867C}">
                  <a14:compatExt spid="_x0000_s14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74</xdr:row>
          <xdr:rowOff>47625</xdr:rowOff>
        </xdr:from>
        <xdr:to>
          <xdr:col>5</xdr:col>
          <xdr:colOff>790575</xdr:colOff>
          <xdr:row>75</xdr:row>
          <xdr:rowOff>38100</xdr:rowOff>
        </xdr:to>
        <xdr:sp macro="" textlink="">
          <xdr:nvSpPr>
            <xdr:cNvPr id="1485" name="Drop Down 461" hidden="1">
              <a:extLst>
                <a:ext uri="{63B3BB69-23CF-44E3-9099-C40C66FF867C}">
                  <a14:compatExt spid="_x0000_s14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80</xdr:row>
          <xdr:rowOff>9525</xdr:rowOff>
        </xdr:from>
        <xdr:to>
          <xdr:col>7</xdr:col>
          <xdr:colOff>9525</xdr:colOff>
          <xdr:row>81</xdr:row>
          <xdr:rowOff>0</xdr:rowOff>
        </xdr:to>
        <xdr:sp macro="" textlink="">
          <xdr:nvSpPr>
            <xdr:cNvPr id="1486" name="Drop Down 462" hidden="1">
              <a:extLst>
                <a:ext uri="{63B3BB69-23CF-44E3-9099-C40C66FF867C}">
                  <a14:compatExt spid="_x0000_s14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81</xdr:row>
          <xdr:rowOff>19050</xdr:rowOff>
        </xdr:from>
        <xdr:to>
          <xdr:col>7</xdr:col>
          <xdr:colOff>9525</xdr:colOff>
          <xdr:row>82</xdr:row>
          <xdr:rowOff>9525</xdr:rowOff>
        </xdr:to>
        <xdr:sp macro="" textlink="">
          <xdr:nvSpPr>
            <xdr:cNvPr id="1487" name="Drop Down 463" hidden="1">
              <a:extLst>
                <a:ext uri="{63B3BB69-23CF-44E3-9099-C40C66FF867C}">
                  <a14:compatExt spid="_x0000_s14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82</xdr:row>
          <xdr:rowOff>38100</xdr:rowOff>
        </xdr:from>
        <xdr:to>
          <xdr:col>7</xdr:col>
          <xdr:colOff>9525</xdr:colOff>
          <xdr:row>83</xdr:row>
          <xdr:rowOff>28575</xdr:rowOff>
        </xdr:to>
        <xdr:sp macro="" textlink="">
          <xdr:nvSpPr>
            <xdr:cNvPr id="1488" name="Drop Down 464" hidden="1">
              <a:extLst>
                <a:ext uri="{63B3BB69-23CF-44E3-9099-C40C66FF867C}">
                  <a14:compatExt spid="_x0000_s14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92</xdr:row>
          <xdr:rowOff>9525</xdr:rowOff>
        </xdr:from>
        <xdr:to>
          <xdr:col>5</xdr:col>
          <xdr:colOff>438150</xdr:colOff>
          <xdr:row>93</xdr:row>
          <xdr:rowOff>9525</xdr:rowOff>
        </xdr:to>
        <xdr:sp macro="" textlink="">
          <xdr:nvSpPr>
            <xdr:cNvPr id="1489" name="Drop Down 465" hidden="1">
              <a:extLst>
                <a:ext uri="{63B3BB69-23CF-44E3-9099-C40C66FF867C}">
                  <a14:compatExt spid="_x0000_s14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90</xdr:row>
          <xdr:rowOff>19050</xdr:rowOff>
        </xdr:from>
        <xdr:to>
          <xdr:col>3</xdr:col>
          <xdr:colOff>876300</xdr:colOff>
          <xdr:row>91</xdr:row>
          <xdr:rowOff>9525</xdr:rowOff>
        </xdr:to>
        <xdr:sp macro="" textlink="">
          <xdr:nvSpPr>
            <xdr:cNvPr id="1498" name="Drop Down 474" hidden="1">
              <a:extLst>
                <a:ext uri="{63B3BB69-23CF-44E3-9099-C40C66FF867C}">
                  <a14:compatExt spid="_x0000_s14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28575</xdr:rowOff>
        </xdr:from>
        <xdr:to>
          <xdr:col>5</xdr:col>
          <xdr:colOff>1543050</xdr:colOff>
          <xdr:row>103</xdr:row>
          <xdr:rowOff>19050</xdr:rowOff>
        </xdr:to>
        <xdr:sp macro="" textlink="">
          <xdr:nvSpPr>
            <xdr:cNvPr id="1505" name="Drop Down 481" hidden="1">
              <a:extLst>
                <a:ext uri="{63B3BB69-23CF-44E3-9099-C40C66FF867C}">
                  <a14:compatExt spid="_x0000_s15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9525</xdr:rowOff>
        </xdr:from>
        <xdr:to>
          <xdr:col>6</xdr:col>
          <xdr:colOff>219075</xdr:colOff>
          <xdr:row>111</xdr:row>
          <xdr:rowOff>9525</xdr:rowOff>
        </xdr:to>
        <xdr:sp macro="" textlink="">
          <xdr:nvSpPr>
            <xdr:cNvPr id="1506" name="Drop Down 482" hidden="1">
              <a:extLst>
                <a:ext uri="{63B3BB69-23CF-44E3-9099-C40C66FF867C}">
                  <a14:compatExt spid="_x0000_s15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9525</xdr:rowOff>
        </xdr:from>
        <xdr:to>
          <xdr:col>5</xdr:col>
          <xdr:colOff>1495425</xdr:colOff>
          <xdr:row>121</xdr:row>
          <xdr:rowOff>9525</xdr:rowOff>
        </xdr:to>
        <xdr:sp macro="" textlink="">
          <xdr:nvSpPr>
            <xdr:cNvPr id="1509" name="Drop Down 485" hidden="1">
              <a:extLst>
                <a:ext uri="{63B3BB69-23CF-44E3-9099-C40C66FF867C}">
                  <a14:compatExt spid="_x0000_s15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137</xdr:row>
          <xdr:rowOff>19050</xdr:rowOff>
        </xdr:from>
        <xdr:to>
          <xdr:col>3</xdr:col>
          <xdr:colOff>866775</xdr:colOff>
          <xdr:row>138</xdr:row>
          <xdr:rowOff>28575</xdr:rowOff>
        </xdr:to>
        <xdr:sp macro="" textlink="">
          <xdr:nvSpPr>
            <xdr:cNvPr id="1520" name="Option Button 496" hidden="1">
              <a:extLst>
                <a:ext uri="{63B3BB69-23CF-44E3-9099-C40C66FF867C}">
                  <a14:compatExt spid="_x0000_s1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Wahl eines alternativen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136</xdr:row>
          <xdr:rowOff>19050</xdr:rowOff>
        </xdr:from>
        <xdr:to>
          <xdr:col>3</xdr:col>
          <xdr:colOff>1104900</xdr:colOff>
          <xdr:row>137</xdr:row>
          <xdr:rowOff>28575</xdr:rowOff>
        </xdr:to>
        <xdr:sp macro="" textlink="">
          <xdr:nvSpPr>
            <xdr:cNvPr id="1521" name="Option Button 497" hidden="1">
              <a:extLst>
                <a:ext uri="{63B3BB69-23CF-44E3-9099-C40C66FF867C}">
                  <a14:compatExt spid="_x0000_s1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Beibehaltung des gewählten Systems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12</xdr:col>
      <xdr:colOff>752474</xdr:colOff>
      <xdr:row>82</xdr:row>
      <xdr:rowOff>805164</xdr:rowOff>
    </xdr:from>
    <xdr:to>
      <xdr:col>14</xdr:col>
      <xdr:colOff>247650</xdr:colOff>
      <xdr:row>82</xdr:row>
      <xdr:rowOff>1543051</xdr:rowOff>
    </xdr:to>
    <xdr:pic>
      <xdr:nvPicPr>
        <xdr:cNvPr id="14" name="Grafik 1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867524" y="16235664"/>
          <a:ext cx="857251" cy="737887"/>
        </a:xfrm>
        <a:prstGeom prst="rect">
          <a:avLst/>
        </a:prstGeom>
      </xdr:spPr>
    </xdr:pic>
    <xdr:clientData/>
  </xdr:twoCellAnchor>
  <xdr:twoCellAnchor>
    <xdr:from>
      <xdr:col>0</xdr:col>
      <xdr:colOff>171451</xdr:colOff>
      <xdr:row>80</xdr:row>
      <xdr:rowOff>47626</xdr:rowOff>
    </xdr:from>
    <xdr:to>
      <xdr:col>14</xdr:col>
      <xdr:colOff>304800</xdr:colOff>
      <xdr:row>82</xdr:row>
      <xdr:rowOff>66675</xdr:rowOff>
    </xdr:to>
    <xdr:sp macro="" textlink="">
      <xdr:nvSpPr>
        <xdr:cNvPr id="6" name="Abgerundetes Rechteck 5"/>
        <xdr:cNvSpPr/>
      </xdr:nvSpPr>
      <xdr:spPr bwMode="auto">
        <a:xfrm>
          <a:off x="171451" y="14906626"/>
          <a:ext cx="7610474" cy="542924"/>
        </a:xfrm>
        <a:prstGeom prst="roundRect">
          <a:avLst>
            <a:gd name="adj" fmla="val 33334"/>
          </a:avLst>
        </a:prstGeom>
        <a:noFill/>
        <a:ln w="19050" cap="flat" cmpd="sng" algn="ctr">
          <a:solidFill>
            <a:srgbClr val="00CC99"/>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xdr:from>
      <xdr:col>0</xdr:col>
      <xdr:colOff>200025</xdr:colOff>
      <xdr:row>96</xdr:row>
      <xdr:rowOff>590550</xdr:rowOff>
    </xdr:from>
    <xdr:to>
      <xdr:col>6</xdr:col>
      <xdr:colOff>47625</xdr:colOff>
      <xdr:row>97</xdr:row>
      <xdr:rowOff>1438274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66675</xdr:colOff>
      <xdr:row>0</xdr:row>
      <xdr:rowOff>9525</xdr:rowOff>
    </xdr:from>
    <xdr:to>
      <xdr:col>16</xdr:col>
      <xdr:colOff>0</xdr:colOff>
      <xdr:row>2</xdr:row>
      <xdr:rowOff>48</xdr:rowOff>
    </xdr:to>
    <xdr:pic>
      <xdr:nvPicPr>
        <xdr:cNvPr id="5" name="Grafik 4" descr="ET CMYK 35mmText_links.jpg"/>
        <xdr:cNvPicPr>
          <a:picLocks noChangeAspect="1"/>
        </xdr:cNvPicPr>
      </xdr:nvPicPr>
      <xdr:blipFill>
        <a:blip xmlns:r="http://schemas.openxmlformats.org/officeDocument/2006/relationships" r:embed="rId3" cstate="print"/>
        <a:srcRect l="47630" b="2655"/>
        <a:stretch>
          <a:fillRect/>
        </a:stretch>
      </xdr:blipFill>
      <xdr:spPr>
        <a:xfrm>
          <a:off x="6981825" y="9525"/>
          <a:ext cx="674617" cy="676323"/>
        </a:xfrm>
        <a:prstGeom prst="rect">
          <a:avLst/>
        </a:prstGeom>
      </xdr:spPr>
    </xdr:pic>
    <xdr:clientData/>
  </xdr:twoCellAnchor>
  <xdr:twoCellAnchor>
    <xdr:from>
      <xdr:col>0</xdr:col>
      <xdr:colOff>171451</xdr:colOff>
      <xdr:row>96</xdr:row>
      <xdr:rowOff>561975</xdr:rowOff>
    </xdr:from>
    <xdr:to>
      <xdr:col>5</xdr:col>
      <xdr:colOff>276225</xdr:colOff>
      <xdr:row>97</xdr:row>
      <xdr:rowOff>1504949</xdr:rowOff>
    </xdr:to>
    <xdr:sp macro="" textlink="">
      <xdr:nvSpPr>
        <xdr:cNvPr id="4" name="Abgerundetes Rechteck 3"/>
        <xdr:cNvSpPr/>
      </xdr:nvSpPr>
      <xdr:spPr bwMode="auto">
        <a:xfrm>
          <a:off x="171451" y="20402550"/>
          <a:ext cx="3686174" cy="3200399"/>
        </a:xfrm>
        <a:prstGeom prst="roundRect">
          <a:avLst>
            <a:gd name="adj" fmla="val 2950"/>
          </a:avLst>
        </a:prstGeom>
        <a:noFill/>
        <a:ln w="19050"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xdr:from>
      <xdr:col>0</xdr:col>
      <xdr:colOff>0</xdr:colOff>
      <xdr:row>44</xdr:row>
      <xdr:rowOff>152400</xdr:rowOff>
    </xdr:from>
    <xdr:to>
      <xdr:col>3</xdr:col>
      <xdr:colOff>104775</xdr:colOff>
      <xdr:row>46</xdr:row>
      <xdr:rowOff>19050</xdr:rowOff>
    </xdr:to>
    <xdr:sp macro="" textlink="">
      <xdr:nvSpPr>
        <xdr:cNvPr id="7" name="Textfeld 6">
          <a:hlinkClick xmlns:r="http://schemas.openxmlformats.org/officeDocument/2006/relationships" r:id="rId4"/>
        </xdr:cNvPr>
        <xdr:cNvSpPr txBox="1"/>
      </xdr:nvSpPr>
      <xdr:spPr>
        <a:xfrm>
          <a:off x="0" y="7429500"/>
          <a:ext cx="24193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de-AT" sz="1000" u="sng">
              <a:solidFill>
                <a:srgbClr val="0060A8"/>
              </a:solidFill>
              <a:latin typeface="Arial" pitchFamily="34" charset="0"/>
              <a:cs typeface="Arial" pitchFamily="34" charset="0"/>
            </a:rPr>
            <a:t>Link zum aktuellen Energiepreismonitor</a:t>
          </a:r>
        </a:p>
      </xdr:txBody>
    </xdr:sp>
    <xdr:clientData/>
  </xdr:twoCellAnchor>
  <xdr:twoCellAnchor>
    <xdr:from>
      <xdr:col>0</xdr:col>
      <xdr:colOff>161925</xdr:colOff>
      <xdr:row>97</xdr:row>
      <xdr:rowOff>1295400</xdr:rowOff>
    </xdr:from>
    <xdr:to>
      <xdr:col>2</xdr:col>
      <xdr:colOff>1457325</xdr:colOff>
      <xdr:row>98</xdr:row>
      <xdr:rowOff>9525</xdr:rowOff>
    </xdr:to>
    <xdr:sp macro="" textlink="">
      <xdr:nvSpPr>
        <xdr:cNvPr id="10" name="Textfeld 9"/>
        <xdr:cNvSpPr txBox="1"/>
      </xdr:nvSpPr>
      <xdr:spPr>
        <a:xfrm>
          <a:off x="161925" y="23393400"/>
          <a:ext cx="1952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900" i="1">
              <a:solidFill>
                <a:schemeClr val="tx1">
                  <a:lumMod val="50000"/>
                  <a:lumOff val="50000"/>
                </a:schemeClr>
              </a:solidFill>
            </a:rPr>
            <a:t>*nach ÖNorm M 7140, B.3.4.2</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58</xdr:row>
          <xdr:rowOff>114300</xdr:rowOff>
        </xdr:from>
        <xdr:to>
          <xdr:col>2</xdr:col>
          <xdr:colOff>1562100</xdr:colOff>
          <xdr:row>60</xdr:row>
          <xdr:rowOff>38100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Eigene Eingabe der Instandhaltungskosten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6</xdr:col>
          <xdr:colOff>304800</xdr:colOff>
          <xdr:row>19</xdr:row>
          <xdr:rowOff>19050</xdr:rowOff>
        </xdr:to>
        <xdr:sp macro="" textlink="">
          <xdr:nvSpPr>
            <xdr:cNvPr id="13315" name="Drop Down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10</xdr:col>
          <xdr:colOff>295275</xdr:colOff>
          <xdr:row>19</xdr:row>
          <xdr:rowOff>19050</xdr:rowOff>
        </xdr:to>
        <xdr:sp macro="" textlink="">
          <xdr:nvSpPr>
            <xdr:cNvPr id="13316" name="Drop Down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14</xdr:col>
          <xdr:colOff>304800</xdr:colOff>
          <xdr:row>19</xdr:row>
          <xdr:rowOff>19050</xdr:rowOff>
        </xdr:to>
        <xdr:sp macro="" textlink="">
          <xdr:nvSpPr>
            <xdr:cNvPr id="13317" name="Drop Down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304800</xdr:colOff>
          <xdr:row>41</xdr:row>
          <xdr:rowOff>19050</xdr:rowOff>
        </xdr:to>
        <xdr:sp macro="" textlink="">
          <xdr:nvSpPr>
            <xdr:cNvPr id="13335" name="Check Box 23" hidden="1">
              <a:extLst>
                <a:ext uri="{63B3BB69-23CF-44E3-9099-C40C66FF867C}">
                  <a14:compatExt spid="_x0000_s13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200025</xdr:rowOff>
        </xdr:from>
        <xdr:to>
          <xdr:col>8</xdr:col>
          <xdr:colOff>304800</xdr:colOff>
          <xdr:row>41</xdr:row>
          <xdr:rowOff>9525</xdr:rowOff>
        </xdr:to>
        <xdr:sp macro="" textlink="">
          <xdr:nvSpPr>
            <xdr:cNvPr id="13336" name="Check Box 24" hidden="1">
              <a:extLst>
                <a:ext uri="{63B3BB69-23CF-44E3-9099-C40C66FF867C}">
                  <a14:compatExt spid="_x0000_s13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39</xdr:row>
          <xdr:rowOff>200025</xdr:rowOff>
        </xdr:from>
        <xdr:to>
          <xdr:col>12</xdr:col>
          <xdr:colOff>295275</xdr:colOff>
          <xdr:row>41</xdr:row>
          <xdr:rowOff>9525</xdr:rowOff>
        </xdr:to>
        <xdr:sp macro="" textlink="">
          <xdr:nvSpPr>
            <xdr:cNvPr id="13337" name="Check Box 25" hidden="1">
              <a:extLst>
                <a:ext uri="{63B3BB69-23CF-44E3-9099-C40C66FF867C}">
                  <a14:compatExt spid="_x0000_s13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8</xdr:col>
          <xdr:colOff>304800</xdr:colOff>
          <xdr:row>41</xdr:row>
          <xdr:rowOff>19050</xdr:rowOff>
        </xdr:to>
        <xdr:sp macro="" textlink="">
          <xdr:nvSpPr>
            <xdr:cNvPr id="13338" name="Check Box 26" hidden="1">
              <a:extLst>
                <a:ext uri="{63B3BB69-23CF-44E3-9099-C40C66FF867C}">
                  <a14:compatExt spid="_x0000_s13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8</xdr:col>
          <xdr:colOff>304800</xdr:colOff>
          <xdr:row>41</xdr:row>
          <xdr:rowOff>19050</xdr:rowOff>
        </xdr:to>
        <xdr:sp macro="" textlink="">
          <xdr:nvSpPr>
            <xdr:cNvPr id="13339" name="Check Box 27" hidden="1">
              <a:extLst>
                <a:ext uri="{63B3BB69-23CF-44E3-9099-C40C66FF867C}">
                  <a14:compatExt spid="_x0000_s13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12</xdr:col>
          <xdr:colOff>304800</xdr:colOff>
          <xdr:row>41</xdr:row>
          <xdr:rowOff>19050</xdr:rowOff>
        </xdr:to>
        <xdr:sp macro="" textlink="">
          <xdr:nvSpPr>
            <xdr:cNvPr id="13340" name="Check Box 28" hidden="1">
              <a:extLst>
                <a:ext uri="{63B3BB69-23CF-44E3-9099-C40C66FF867C}">
                  <a14:compatExt spid="_x0000_s13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12</xdr:col>
          <xdr:colOff>304800</xdr:colOff>
          <xdr:row>41</xdr:row>
          <xdr:rowOff>19050</xdr:rowOff>
        </xdr:to>
        <xdr:sp macro="" textlink="">
          <xdr:nvSpPr>
            <xdr:cNvPr id="13341" name="Check Box 29" hidden="1">
              <a:extLst>
                <a:ext uri="{63B3BB69-23CF-44E3-9099-C40C66FF867C}">
                  <a14:compatExt spid="_x0000_s13341"/>
                </a:ext>
              </a:extLst>
            </xdr:cNvPr>
            <xdr:cNvSpPr/>
          </xdr:nvSpPr>
          <xdr:spPr>
            <a:xfrm>
              <a:off x="0" y="0"/>
              <a:ext cx="0" cy="0"/>
            </a:xfrm>
            <a:prstGeom prst="rect">
              <a:avLst/>
            </a:prstGeom>
          </xdr:spPr>
        </xdr:sp>
        <xdr:clientData/>
      </xdr:twoCellAnchor>
    </mc:Choice>
    <mc:Fallback/>
  </mc:AlternateContent>
  <xdr:twoCellAnchor>
    <xdr:from>
      <xdr:col>6</xdr:col>
      <xdr:colOff>76200</xdr:colOff>
      <xdr:row>96</xdr:row>
      <xdr:rowOff>581024</xdr:rowOff>
    </xdr:from>
    <xdr:to>
      <xdr:col>14</xdr:col>
      <xdr:colOff>285750</xdr:colOff>
      <xdr:row>97</xdr:row>
      <xdr:rowOff>1419224</xdr:rowOff>
    </xdr:to>
    <xdr:graphicFrame macro="">
      <xdr:nvGraphicFramePr>
        <xdr:cNvPr id="21"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57150</xdr:colOff>
      <xdr:row>82</xdr:row>
      <xdr:rowOff>209550</xdr:rowOff>
    </xdr:from>
    <xdr:to>
      <xdr:col>14</xdr:col>
      <xdr:colOff>313350</xdr:colOff>
      <xdr:row>96</xdr:row>
      <xdr:rowOff>449625</xdr:rowOff>
    </xdr:to>
    <xdr:sp macro="" textlink="">
      <xdr:nvSpPr>
        <xdr:cNvPr id="22" name="Abgerundetes Rechteck 21"/>
        <xdr:cNvSpPr/>
      </xdr:nvSpPr>
      <xdr:spPr bwMode="auto">
        <a:xfrm>
          <a:off x="3952875" y="15621000"/>
          <a:ext cx="3837600" cy="4669200"/>
        </a:xfrm>
        <a:prstGeom prst="roundRect">
          <a:avLst>
            <a:gd name="adj" fmla="val 2950"/>
          </a:avLst>
        </a:prstGeom>
        <a:noFill/>
        <a:ln w="19050"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xdr:from>
      <xdr:col>6</xdr:col>
      <xdr:colOff>47625</xdr:colOff>
      <xdr:row>96</xdr:row>
      <xdr:rowOff>561974</xdr:rowOff>
    </xdr:from>
    <xdr:to>
      <xdr:col>14</xdr:col>
      <xdr:colOff>304800</xdr:colOff>
      <xdr:row>97</xdr:row>
      <xdr:rowOff>1504874</xdr:rowOff>
    </xdr:to>
    <xdr:sp macro="" textlink="">
      <xdr:nvSpPr>
        <xdr:cNvPr id="23" name="Abgerundetes Rechteck 22"/>
        <xdr:cNvSpPr/>
      </xdr:nvSpPr>
      <xdr:spPr bwMode="auto">
        <a:xfrm>
          <a:off x="3943350" y="20402549"/>
          <a:ext cx="3838575" cy="3200325"/>
        </a:xfrm>
        <a:prstGeom prst="roundRect">
          <a:avLst>
            <a:gd name="adj" fmla="val 2950"/>
          </a:avLst>
        </a:prstGeom>
        <a:noFill/>
        <a:ln w="19050"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xdr:from>
      <xdr:col>1</xdr:col>
      <xdr:colOff>28575</xdr:colOff>
      <xdr:row>82</xdr:row>
      <xdr:rowOff>219075</xdr:rowOff>
    </xdr:from>
    <xdr:to>
      <xdr:col>5</xdr:col>
      <xdr:colOff>104775</xdr:colOff>
      <xdr:row>96</xdr:row>
      <xdr:rowOff>390525</xdr:rowOff>
    </xdr:to>
    <xdr:grpSp>
      <xdr:nvGrpSpPr>
        <xdr:cNvPr id="11" name="Gruppieren 10"/>
        <xdr:cNvGrpSpPr/>
      </xdr:nvGrpSpPr>
      <xdr:grpSpPr>
        <a:xfrm>
          <a:off x="342900" y="15440025"/>
          <a:ext cx="3343275" cy="4600575"/>
          <a:chOff x="342900" y="19402425"/>
          <a:chExt cx="3343275" cy="4248150"/>
        </a:xfrm>
      </xdr:grpSpPr>
      <xdr:graphicFrame macro="">
        <xdr:nvGraphicFramePr>
          <xdr:cNvPr id="8" name="Diagramm 7"/>
          <xdr:cNvGraphicFramePr/>
        </xdr:nvGraphicFramePr>
        <xdr:xfrm>
          <a:off x="342900" y="19402425"/>
          <a:ext cx="3343275" cy="424815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 name="Rechteck 2"/>
          <xdr:cNvSpPr/>
        </xdr:nvSpPr>
        <xdr:spPr bwMode="auto">
          <a:xfrm>
            <a:off x="1019175" y="20601572"/>
            <a:ext cx="108000" cy="108000"/>
          </a:xfrm>
          <a:prstGeom prst="rect">
            <a:avLst/>
          </a:prstGeom>
          <a:solidFill>
            <a:schemeClr val="bg1">
              <a:lumMod val="50000"/>
            </a:schemeClr>
          </a:solidFill>
          <a:ln>
            <a:noFill/>
            <a:headEnd type="none" w="med" len="med"/>
            <a:tailEnd type="none" w="med" len="me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horz" wrap="square" lIns="18288" tIns="0" rIns="0" bIns="0" rtlCol="0" anchor="t" upright="1"/>
          <a:lstStyle/>
          <a:p>
            <a:pPr algn="l"/>
            <a:endParaRPr lang="de-DE" sz="1100"/>
          </a:p>
        </xdr:txBody>
      </xdr:sp>
      <xdr:sp macro="" textlink="">
        <xdr:nvSpPr>
          <xdr:cNvPr id="25" name="Rechteck 24"/>
          <xdr:cNvSpPr/>
        </xdr:nvSpPr>
        <xdr:spPr bwMode="auto">
          <a:xfrm>
            <a:off x="1019175" y="20392021"/>
            <a:ext cx="108000" cy="108000"/>
          </a:xfrm>
          <a:prstGeom prst="rect">
            <a:avLst/>
          </a:prstGeom>
          <a:solidFill>
            <a:schemeClr val="bg1">
              <a:lumMod val="75000"/>
            </a:schemeClr>
          </a:solidFill>
          <a:ln>
            <a:noFill/>
            <a:headEnd type="none" w="med" len="med"/>
            <a:tailEnd type="none" w="med" len="me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horz" wrap="square" lIns="18288" tIns="0" rIns="0" bIns="0" rtlCol="0" anchor="t" upright="1"/>
          <a:lstStyle/>
          <a:p>
            <a:pPr algn="l"/>
            <a:endParaRPr lang="de-DE" sz="1100"/>
          </a:p>
        </xdr:txBody>
      </xdr:sp>
      <xdr:sp macro="" textlink="">
        <xdr:nvSpPr>
          <xdr:cNvPr id="26" name="Rechteck 25"/>
          <xdr:cNvSpPr/>
        </xdr:nvSpPr>
        <xdr:spPr bwMode="auto">
          <a:xfrm>
            <a:off x="1019175" y="20191996"/>
            <a:ext cx="108000" cy="108000"/>
          </a:xfrm>
          <a:prstGeom prst="rect">
            <a:avLst/>
          </a:prstGeom>
          <a:solidFill>
            <a:schemeClr val="bg1">
              <a:lumMod val="85000"/>
            </a:schemeClr>
          </a:solidFill>
          <a:ln>
            <a:noFill/>
            <a:headEnd type="none" w="med" len="med"/>
            <a:tailEnd type="none" w="med" len="me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horz" wrap="square" lIns="18288" tIns="0" rIns="0" bIns="0" rtlCol="0" anchor="t" upright="1"/>
          <a:lstStyle/>
          <a:p>
            <a:pPr algn="l"/>
            <a:endParaRPr lang="de-DE" sz="1100"/>
          </a:p>
        </xdr:txBody>
      </xdr:sp>
    </xdr:grpSp>
    <xdr:clientData/>
  </xdr:twoCellAnchor>
  <xdr:twoCellAnchor>
    <xdr:from>
      <xdr:col>0</xdr:col>
      <xdr:colOff>161925</xdr:colOff>
      <xdr:row>82</xdr:row>
      <xdr:rowOff>209550</xdr:rowOff>
    </xdr:from>
    <xdr:to>
      <xdr:col>5</xdr:col>
      <xdr:colOff>266925</xdr:colOff>
      <xdr:row>96</xdr:row>
      <xdr:rowOff>447675</xdr:rowOff>
    </xdr:to>
    <xdr:sp macro="" textlink="">
      <xdr:nvSpPr>
        <xdr:cNvPr id="9" name="Abgerundetes Rechteck 8"/>
        <xdr:cNvSpPr/>
      </xdr:nvSpPr>
      <xdr:spPr bwMode="auto">
        <a:xfrm>
          <a:off x="161925" y="15621000"/>
          <a:ext cx="3686400" cy="4667250"/>
        </a:xfrm>
        <a:prstGeom prst="roundRect">
          <a:avLst>
            <a:gd name="adj" fmla="val 2950"/>
          </a:avLst>
        </a:prstGeom>
        <a:noFill/>
        <a:ln w="19050" cap="flat" cmpd="sng" algn="ctr">
          <a:solidFill>
            <a:schemeClr val="bg1">
              <a:lumMod val="65000"/>
            </a:schemeClr>
          </a:solidFill>
          <a:prstDash val="solid"/>
          <a:round/>
          <a:headEnd type="none" w="med" len="med"/>
          <a:tailEnd type="none" w="med" len="med"/>
        </a:ln>
        <a:effectLst/>
      </xdr:spPr>
      <xdr:txBody>
        <a:bodyPr vertOverflow="clip" wrap="square" lIns="18288" tIns="0" rIns="0" bIns="0" rtlCol="0" anchor="ctr" upright="1"/>
        <a:lstStyle/>
        <a:p>
          <a:pPr algn="ctr"/>
          <a:endParaRPr lang="de-AT" sz="1100"/>
        </a:p>
      </xdr:txBody>
    </xdr:sp>
    <xdr:clientData/>
  </xdr:twoCellAnchor>
  <xdr:twoCellAnchor>
    <xdr:from>
      <xdr:col>6</xdr:col>
      <xdr:colOff>85724</xdr:colOff>
      <xdr:row>82</xdr:row>
      <xdr:rowOff>233361</xdr:rowOff>
    </xdr:from>
    <xdr:to>
      <xdr:col>14</xdr:col>
      <xdr:colOff>257175</xdr:colOff>
      <xdr:row>96</xdr:row>
      <xdr:rowOff>438150</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19050</xdr:colOff>
      <xdr:row>96</xdr:row>
      <xdr:rowOff>257175</xdr:rowOff>
    </xdr:from>
    <xdr:to>
      <xdr:col>12</xdr:col>
      <xdr:colOff>133350</xdr:colOff>
      <xdr:row>96</xdr:row>
      <xdr:rowOff>495300</xdr:rowOff>
    </xdr:to>
    <xdr:sp macro="" textlink="">
      <xdr:nvSpPr>
        <xdr:cNvPr id="29" name="Textfeld 28"/>
        <xdr:cNvSpPr txBox="1"/>
      </xdr:nvSpPr>
      <xdr:spPr>
        <a:xfrm>
          <a:off x="3914775" y="20116800"/>
          <a:ext cx="2333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900" i="1">
              <a:solidFill>
                <a:schemeClr val="tx1">
                  <a:lumMod val="50000"/>
                  <a:lumOff val="50000"/>
                </a:schemeClr>
              </a:solidFill>
            </a:rPr>
            <a:t>Quelle:</a:t>
          </a:r>
          <a:r>
            <a:rPr lang="de-AT" sz="900" i="1" baseline="0">
              <a:solidFill>
                <a:schemeClr val="tx1">
                  <a:lumMod val="50000"/>
                  <a:lumOff val="50000"/>
                </a:schemeClr>
              </a:solidFill>
            </a:rPr>
            <a:t> CO2-Monitoring, Lebensministerium</a:t>
          </a:r>
          <a:endParaRPr lang="de-AT" sz="900" i="1">
            <a:solidFill>
              <a:schemeClr val="tx1">
                <a:lumMod val="50000"/>
                <a:lumOff val="50000"/>
              </a:schemeClr>
            </a:solidFill>
          </a:endParaRPr>
        </a:p>
      </xdr:txBody>
    </xdr:sp>
    <xdr:clientData/>
  </xdr:twoCellAnchor>
  <xdr:twoCellAnchor>
    <xdr:from>
      <xdr:col>6</xdr:col>
      <xdr:colOff>152400</xdr:colOff>
      <xdr:row>96</xdr:row>
      <xdr:rowOff>57150</xdr:rowOff>
    </xdr:from>
    <xdr:to>
      <xdr:col>15</xdr:col>
      <xdr:colOff>85725</xdr:colOff>
      <xdr:row>96</xdr:row>
      <xdr:rowOff>295275</xdr:rowOff>
    </xdr:to>
    <xdr:sp macro="" textlink="">
      <xdr:nvSpPr>
        <xdr:cNvPr id="30" name="Textfeld 29"/>
        <xdr:cNvSpPr txBox="1"/>
      </xdr:nvSpPr>
      <xdr:spPr>
        <a:xfrm>
          <a:off x="4048125" y="19707225"/>
          <a:ext cx="3829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AT" sz="1200" i="1">
              <a:solidFill>
                <a:sysClr val="windowText" lastClr="000000"/>
              </a:solidFill>
            </a:rPr>
            <a:t>Weniger Emissionen sind gut für uns und unser Klima!</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0.08397</cdr:x>
      <cdr:y>0.00838</cdr:y>
    </cdr:from>
    <cdr:to>
      <cdr:x>0.96183</cdr:x>
      <cdr:y>0.2173</cdr:y>
    </cdr:to>
    <cdr:sp macro="" textlink="">
      <cdr:nvSpPr>
        <cdr:cNvPr id="2" name="Textfeld 1"/>
        <cdr:cNvSpPr txBox="1"/>
      </cdr:nvSpPr>
      <cdr:spPr>
        <a:xfrm xmlns:a="http://schemas.openxmlformats.org/drawingml/2006/main">
          <a:off x="314316" y="30027"/>
          <a:ext cx="3286116" cy="7482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400" b="1"/>
            <a:t>Vergleich Heizsysteme - fiktive Gesamtkostenentwicklung über</a:t>
          </a:r>
          <a:r>
            <a:rPr lang="de-AT" sz="1400" b="1" baseline="0"/>
            <a:t> 20 Jahre*</a:t>
          </a:r>
          <a:endParaRPr lang="de-AT" sz="1400" b="1"/>
        </a:p>
      </cdr:txBody>
    </cdr:sp>
  </cdr:relSizeAnchor>
  <cdr:relSizeAnchor xmlns:cdr="http://schemas.openxmlformats.org/drawingml/2006/chartDrawing">
    <cdr:from>
      <cdr:x>0.83843</cdr:x>
      <cdr:y>0.94022</cdr:y>
    </cdr:from>
    <cdr:to>
      <cdr:x>0.9771</cdr:x>
      <cdr:y>0.99977</cdr:y>
    </cdr:to>
    <cdr:sp macro="" textlink="">
      <cdr:nvSpPr>
        <cdr:cNvPr id="4" name="Textfeld 1"/>
        <cdr:cNvSpPr txBox="1"/>
      </cdr:nvSpPr>
      <cdr:spPr>
        <a:xfrm xmlns:a="http://schemas.openxmlformats.org/drawingml/2006/main">
          <a:off x="3138527" y="3295650"/>
          <a:ext cx="519073" cy="208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AT" sz="1100">
              <a:solidFill>
                <a:schemeClr val="tx1">
                  <a:lumMod val="50000"/>
                  <a:lumOff val="50000"/>
                </a:schemeClr>
              </a:solidFill>
            </a:rPr>
            <a:t>Jahre</a:t>
          </a:r>
        </a:p>
      </cdr:txBody>
    </cdr:sp>
  </cdr:relSizeAnchor>
</c:userShapes>
</file>

<file path=xl/drawings/drawing7.xml><?xml version="1.0" encoding="utf-8"?>
<c:userShapes xmlns:c="http://schemas.openxmlformats.org/drawingml/2006/chart">
  <cdr:relSizeAnchor xmlns:cdr="http://schemas.openxmlformats.org/drawingml/2006/chartDrawing">
    <cdr:from>
      <cdr:x>0.11181</cdr:x>
      <cdr:y>0.00843</cdr:y>
    </cdr:from>
    <cdr:to>
      <cdr:x>0.96756</cdr:x>
      <cdr:y>0.10462</cdr:y>
    </cdr:to>
    <cdr:sp macro="" textlink="">
      <cdr:nvSpPr>
        <cdr:cNvPr id="2" name="Textfeld 1"/>
        <cdr:cNvSpPr txBox="1"/>
      </cdr:nvSpPr>
      <cdr:spPr>
        <a:xfrm xmlns:a="http://schemas.openxmlformats.org/drawingml/2006/main">
          <a:off x="423866" y="26095"/>
          <a:ext cx="3244106" cy="2977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400" b="1"/>
            <a:t>Vergleich Heizsysteme - CO</a:t>
          </a:r>
          <a:r>
            <a:rPr lang="de-AT" sz="1100" b="1"/>
            <a:t>2</a:t>
          </a:r>
          <a:r>
            <a:rPr lang="de-AT" sz="1400" b="1"/>
            <a:t>-Emissionen</a:t>
          </a:r>
        </a:p>
      </cdr:txBody>
    </cdr:sp>
  </cdr:relSizeAnchor>
  <cdr:relSizeAnchor xmlns:cdr="http://schemas.openxmlformats.org/drawingml/2006/chartDrawing">
    <cdr:from>
      <cdr:x>0.84833</cdr:x>
      <cdr:y>0.9411</cdr:y>
    </cdr:from>
    <cdr:to>
      <cdr:x>1</cdr:x>
      <cdr:y>1</cdr:y>
    </cdr:to>
    <cdr:sp macro="" textlink="">
      <cdr:nvSpPr>
        <cdr:cNvPr id="4" name="Textfeld 1"/>
        <cdr:cNvSpPr txBox="1"/>
      </cdr:nvSpPr>
      <cdr:spPr>
        <a:xfrm xmlns:a="http://schemas.openxmlformats.org/drawingml/2006/main">
          <a:off x="3143250" y="3235996"/>
          <a:ext cx="561975" cy="202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AT" sz="1100">
              <a:solidFill>
                <a:schemeClr val="tx1">
                  <a:lumMod val="50000"/>
                  <a:lumOff val="50000"/>
                </a:schemeClr>
              </a:solidFill>
            </a:rPr>
            <a:t>Jahre</a:t>
          </a:r>
        </a:p>
      </cdr:txBody>
    </cdr:sp>
  </cdr:relSizeAnchor>
</c:userShapes>
</file>

<file path=xl/drawings/drawing8.xml><?xml version="1.0" encoding="utf-8"?>
<c:userShapes xmlns:c="http://schemas.openxmlformats.org/drawingml/2006/chart">
  <cdr:relSizeAnchor xmlns:cdr="http://schemas.openxmlformats.org/drawingml/2006/chartDrawing">
    <cdr:from>
      <cdr:x>0.09872</cdr:x>
      <cdr:y>0.02875</cdr:y>
    </cdr:from>
    <cdr:to>
      <cdr:x>1</cdr:x>
      <cdr:y>0.14579</cdr:y>
    </cdr:to>
    <cdr:sp macro="" textlink="">
      <cdr:nvSpPr>
        <cdr:cNvPr id="2" name="Textfeld 1"/>
        <cdr:cNvSpPr txBox="1"/>
      </cdr:nvSpPr>
      <cdr:spPr>
        <a:xfrm xmlns:a="http://schemas.openxmlformats.org/drawingml/2006/main">
          <a:off x="330048" y="133350"/>
          <a:ext cx="3013227"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400" b="1"/>
            <a:t>Vergleich Heizsysteme - fiktive Vollkosten</a:t>
          </a:r>
          <a:r>
            <a:rPr lang="de-AT" sz="1400" b="1" baseline="0"/>
            <a:t> pro Jahr </a:t>
          </a:r>
          <a:endParaRPr lang="de-AT" sz="1400" b="1"/>
        </a:p>
      </cdr:txBody>
    </cdr:sp>
  </cdr:relSizeAnchor>
  <cdr:relSizeAnchor xmlns:cdr="http://schemas.openxmlformats.org/drawingml/2006/chartDrawing">
    <cdr:from>
      <cdr:x>0.60399</cdr:x>
      <cdr:y>0.14798</cdr:y>
    </cdr:from>
    <cdr:to>
      <cdr:x>0.63818</cdr:x>
      <cdr:y>0.27803</cdr:y>
    </cdr:to>
    <cdr:sp macro="" textlink="">
      <cdr:nvSpPr>
        <cdr:cNvPr id="3" name="Rechteck 2"/>
        <cdr:cNvSpPr/>
      </cdr:nvSpPr>
      <cdr:spPr bwMode="auto">
        <a:xfrm xmlns:a="http://schemas.openxmlformats.org/drawingml/2006/main">
          <a:off x="2019299" y="628649"/>
          <a:ext cx="114301" cy="552451"/>
        </a:xfrm>
        <a:prstGeom xmlns:a="http://schemas.openxmlformats.org/drawingml/2006/main" prst="rect">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7</xdr:col>
      <xdr:colOff>971550</xdr:colOff>
      <xdr:row>0</xdr:row>
      <xdr:rowOff>0</xdr:rowOff>
    </xdr:from>
    <xdr:to>
      <xdr:col>8</xdr:col>
      <xdr:colOff>0</xdr:colOff>
      <xdr:row>1</xdr:row>
      <xdr:rowOff>142923</xdr:rowOff>
    </xdr:to>
    <xdr:pic>
      <xdr:nvPicPr>
        <xdr:cNvPr id="9" name="Grafik 8" descr="ET CMYK 35mmText_links.jpg"/>
        <xdr:cNvPicPr>
          <a:picLocks noChangeAspect="1"/>
        </xdr:cNvPicPr>
      </xdr:nvPicPr>
      <xdr:blipFill>
        <a:blip xmlns:r="http://schemas.openxmlformats.org/officeDocument/2006/relationships" r:embed="rId1" cstate="print"/>
        <a:srcRect l="47630" b="2655"/>
        <a:stretch>
          <a:fillRect/>
        </a:stretch>
      </xdr:blipFill>
      <xdr:spPr>
        <a:xfrm>
          <a:off x="6772275" y="0"/>
          <a:ext cx="676275" cy="67632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2" Type="http://schemas.openxmlformats.org/officeDocument/2006/relationships/hyperlink" Target="http://www.umweltbundesamt.at/fileadmin/site/umweltthemen/laerm/forum_schall/downloads/Informationsblatt_Luftwaermepumpen_2013.pdf"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61" Type="http://schemas.openxmlformats.org/officeDocument/2006/relationships/comments" Target="../comments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4.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 Type="http://schemas.openxmlformats.org/officeDocument/2006/relationships/printerSettings" Target="../printerSettings/printerSettings8.bin"/><Relationship Id="rId21" Type="http://schemas.openxmlformats.org/officeDocument/2006/relationships/ctrlProp" Target="../ctrlProps/ctrlProp73.xml"/><Relationship Id="rId34" Type="http://schemas.openxmlformats.org/officeDocument/2006/relationships/ctrlProp" Target="../ctrlProps/ctrlProp86.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2" Type="http://schemas.openxmlformats.org/officeDocument/2006/relationships/hyperlink" Target="http://www.umweltbundesamt.at/fileadmin/site/umweltthemen/laerm/forum_schall/downloads/Informationsblatt_Luftwaermepumpen_2013.pdf" TargetMode="Externa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1" Type="http://schemas.openxmlformats.org/officeDocument/2006/relationships/printerSettings" Target="../printerSettings/printerSettings7.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5" Type="http://schemas.openxmlformats.org/officeDocument/2006/relationships/vmlDrawing" Target="../drawings/vmlDrawing3.v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 Type="http://schemas.openxmlformats.org/officeDocument/2006/relationships/drawing" Target="../drawings/drawing4.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3" Type="http://schemas.openxmlformats.org/officeDocument/2006/relationships/drawing" Target="../drawings/drawing5.xml"/><Relationship Id="rId7" Type="http://schemas.openxmlformats.org/officeDocument/2006/relationships/ctrlProp" Target="../ctrlProps/ctrlProp89.xml"/><Relationship Id="rId12" Type="http://schemas.openxmlformats.org/officeDocument/2006/relationships/ctrlProp" Target="../ctrlProps/ctrlProp94.xml"/><Relationship Id="rId2" Type="http://schemas.openxmlformats.org/officeDocument/2006/relationships/printerSettings" Target="../printerSettings/printerSettings10.bin"/><Relationship Id="rId16" Type="http://schemas.openxmlformats.org/officeDocument/2006/relationships/comments" Target="../comments2.xml"/><Relationship Id="rId1" Type="http://schemas.openxmlformats.org/officeDocument/2006/relationships/printerSettings" Target="../printerSettings/printerSettings9.bin"/><Relationship Id="rId6" Type="http://schemas.openxmlformats.org/officeDocument/2006/relationships/ctrlProp" Target="../ctrlProps/ctrlProp88.xml"/><Relationship Id="rId11" Type="http://schemas.openxmlformats.org/officeDocument/2006/relationships/ctrlProp" Target="../ctrlProps/ctrlProp93.xml"/><Relationship Id="rId5" Type="http://schemas.openxmlformats.org/officeDocument/2006/relationships/ctrlProp" Target="../ctrlProps/ctrlProp87.xml"/><Relationship Id="rId15" Type="http://schemas.openxmlformats.org/officeDocument/2006/relationships/ctrlProp" Target="../ctrlProps/ctrlProp97.xml"/><Relationship Id="rId10" Type="http://schemas.openxmlformats.org/officeDocument/2006/relationships/ctrlProp" Target="../ctrlProps/ctrlProp92.xml"/><Relationship Id="rId4" Type="http://schemas.openxmlformats.org/officeDocument/2006/relationships/vmlDrawing" Target="../drawings/vmlDrawing4.vml"/><Relationship Id="rId9" Type="http://schemas.openxmlformats.org/officeDocument/2006/relationships/ctrlProp" Target="../ctrlProps/ctrlProp91.xml"/><Relationship Id="rId14" Type="http://schemas.openxmlformats.org/officeDocument/2006/relationships/ctrlProp" Target="../ctrlProps/ctrlProp9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1.xml"/><Relationship Id="rId3" Type="http://schemas.openxmlformats.org/officeDocument/2006/relationships/drawing" Target="../drawings/drawing10.xml"/><Relationship Id="rId7" Type="http://schemas.openxmlformats.org/officeDocument/2006/relationships/ctrlProp" Target="../ctrlProps/ctrlProp100.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72"/>
  <sheetViews>
    <sheetView showGridLines="0" tabSelected="1" workbookViewId="0">
      <selection activeCell="G7" sqref="G7"/>
    </sheetView>
  </sheetViews>
  <sheetFormatPr baseColWidth="10" defaultRowHeight="12.75" x14ac:dyDescent="0.2"/>
  <cols>
    <col min="1" max="1" width="3.42578125" customWidth="1"/>
    <col min="2" max="2" width="38.5703125" customWidth="1"/>
    <col min="3" max="3" width="72.85546875" customWidth="1"/>
    <col min="4" max="4" width="15.140625" customWidth="1"/>
    <col min="5" max="5" width="23.85546875" customWidth="1"/>
    <col min="6" max="6" width="20.7109375" customWidth="1"/>
    <col min="7" max="7" width="14" customWidth="1"/>
  </cols>
  <sheetData>
    <row r="1" spans="1:8" ht="56.25" customHeight="1" x14ac:dyDescent="0.2">
      <c r="A1" s="976" t="s">
        <v>496</v>
      </c>
      <c r="B1" s="977"/>
      <c r="C1" s="977"/>
      <c r="D1" s="977"/>
      <c r="E1" s="978"/>
      <c r="F1" s="62"/>
      <c r="G1" s="60"/>
      <c r="H1" s="60"/>
    </row>
    <row r="2" spans="1:8" s="254" customFormat="1" ht="12" customHeight="1" x14ac:dyDescent="0.2">
      <c r="A2" s="406" t="s">
        <v>464</v>
      </c>
      <c r="B2" s="407"/>
      <c r="C2" s="407"/>
      <c r="D2" s="531" t="s">
        <v>494</v>
      </c>
      <c r="E2" s="409"/>
      <c r="F2" s="269"/>
      <c r="G2" s="60"/>
      <c r="H2" s="60"/>
    </row>
    <row r="3" spans="1:8" s="254" customFormat="1" ht="45.75" customHeight="1" x14ac:dyDescent="0.2">
      <c r="A3" s="989" t="s">
        <v>444</v>
      </c>
      <c r="B3" s="990"/>
      <c r="C3" s="990"/>
      <c r="D3" s="990"/>
      <c r="E3" s="991"/>
      <c r="F3" s="269"/>
      <c r="G3" s="60"/>
      <c r="H3" s="60"/>
    </row>
    <row r="4" spans="1:8" ht="21.75" customHeight="1" x14ac:dyDescent="0.2">
      <c r="A4" s="982" t="s">
        <v>136</v>
      </c>
      <c r="B4" s="983"/>
      <c r="C4" s="983"/>
      <c r="D4" s="983"/>
      <c r="E4" s="984"/>
      <c r="F4" s="408"/>
      <c r="G4" s="60"/>
      <c r="H4" s="60"/>
    </row>
    <row r="5" spans="1:8" ht="21.75" customHeight="1" x14ac:dyDescent="0.2">
      <c r="A5" s="979" t="s">
        <v>405</v>
      </c>
      <c r="B5" s="980"/>
      <c r="C5" s="980"/>
      <c r="D5" s="980"/>
      <c r="E5" s="981"/>
      <c r="F5" s="62"/>
      <c r="G5" s="60"/>
      <c r="H5" s="60"/>
    </row>
    <row r="6" spans="1:8" ht="60.75" customHeight="1" x14ac:dyDescent="0.2">
      <c r="A6" s="979" t="s">
        <v>259</v>
      </c>
      <c r="B6" s="980"/>
      <c r="C6" s="980"/>
      <c r="D6" s="980"/>
      <c r="E6" s="981"/>
      <c r="F6" s="232"/>
      <c r="G6" s="232"/>
      <c r="H6" s="232"/>
    </row>
    <row r="7" spans="1:8" ht="46.5" customHeight="1" x14ac:dyDescent="0.2">
      <c r="A7" s="955" t="s">
        <v>140</v>
      </c>
      <c r="B7" s="985"/>
      <c r="C7" s="985"/>
      <c r="D7" s="985"/>
      <c r="E7" s="986"/>
      <c r="F7" s="231"/>
      <c r="G7" s="24"/>
      <c r="H7" s="24"/>
    </row>
    <row r="8" spans="1:8" ht="82.5" customHeight="1" x14ac:dyDescent="0.2">
      <c r="A8" s="955" t="s">
        <v>139</v>
      </c>
      <c r="B8" s="985"/>
      <c r="C8" s="985"/>
      <c r="D8" s="985"/>
      <c r="E8" s="986"/>
    </row>
    <row r="9" spans="1:8" ht="7.5" customHeight="1" x14ac:dyDescent="0.2">
      <c r="A9" s="987"/>
      <c r="B9" s="965"/>
      <c r="C9" s="965"/>
      <c r="D9" s="965"/>
      <c r="E9" s="988"/>
    </row>
    <row r="10" spans="1:8" ht="21.75" customHeight="1" x14ac:dyDescent="0.2">
      <c r="A10" s="982" t="s">
        <v>138</v>
      </c>
      <c r="B10" s="983"/>
      <c r="C10" s="983"/>
      <c r="D10" s="983"/>
      <c r="E10" s="984"/>
    </row>
    <row r="11" spans="1:8" ht="17.25" customHeight="1" x14ac:dyDescent="0.2">
      <c r="A11" s="963" t="s">
        <v>167</v>
      </c>
      <c r="B11" s="964"/>
      <c r="C11" s="964"/>
      <c r="D11" s="416"/>
      <c r="E11" s="417"/>
    </row>
    <row r="12" spans="1:8" ht="15" customHeight="1" x14ac:dyDescent="0.2">
      <c r="A12" s="716"/>
      <c r="B12" s="715" t="s">
        <v>378</v>
      </c>
      <c r="C12" s="255"/>
      <c r="D12" s="63"/>
      <c r="E12" s="694"/>
    </row>
    <row r="13" spans="1:8" ht="15" customHeight="1" x14ac:dyDescent="0.2">
      <c r="A13" s="464"/>
      <c r="B13" s="465" t="s">
        <v>166</v>
      </c>
      <c r="C13" s="465"/>
      <c r="D13" s="265"/>
      <c r="E13" s="466"/>
    </row>
    <row r="14" spans="1:8" ht="21.75" customHeight="1" x14ac:dyDescent="0.2">
      <c r="A14" s="960" t="s">
        <v>142</v>
      </c>
      <c r="B14" s="961"/>
      <c r="C14" s="961"/>
      <c r="D14" s="961"/>
      <c r="E14" s="962"/>
    </row>
    <row r="15" spans="1:8" ht="21" customHeight="1" x14ac:dyDescent="0.25">
      <c r="A15" s="952" t="s">
        <v>143</v>
      </c>
      <c r="B15" s="953"/>
      <c r="C15" s="953"/>
      <c r="D15" s="953"/>
      <c r="E15" s="954"/>
    </row>
    <row r="16" spans="1:8" ht="24" customHeight="1" x14ac:dyDescent="0.2">
      <c r="A16" s="955" t="s">
        <v>245</v>
      </c>
      <c r="B16" s="956"/>
      <c r="C16" s="956"/>
      <c r="D16" s="956"/>
      <c r="E16" s="957"/>
    </row>
    <row r="17" spans="1:11" ht="18.75" customHeight="1" x14ac:dyDescent="0.2">
      <c r="A17" s="246"/>
      <c r="B17" s="949" t="s">
        <v>137</v>
      </c>
      <c r="C17" s="950"/>
      <c r="D17" s="950"/>
      <c r="E17" s="951"/>
      <c r="F17" s="252"/>
    </row>
    <row r="18" spans="1:11" ht="5.25" customHeight="1" x14ac:dyDescent="0.2">
      <c r="A18" s="247"/>
      <c r="B18" s="248"/>
      <c r="C18" s="248"/>
      <c r="D18" s="248"/>
      <c r="E18" s="249"/>
    </row>
    <row r="19" spans="1:11" ht="21" customHeight="1" x14ac:dyDescent="0.25">
      <c r="A19" s="952" t="s">
        <v>159</v>
      </c>
      <c r="B19" s="953"/>
      <c r="C19" s="953"/>
      <c r="D19" s="953"/>
      <c r="E19" s="954"/>
    </row>
    <row r="20" spans="1:11" ht="48" customHeight="1" x14ac:dyDescent="0.2">
      <c r="A20" s="955" t="s">
        <v>160</v>
      </c>
      <c r="B20" s="956"/>
      <c r="C20" s="956"/>
      <c r="D20" s="956"/>
      <c r="E20" s="957"/>
      <c r="G20" s="948"/>
      <c r="H20" s="948"/>
      <c r="I20" s="948"/>
      <c r="J20" s="948"/>
      <c r="K20" s="948"/>
    </row>
    <row r="21" spans="1:11" ht="42.75" customHeight="1" x14ac:dyDescent="0.2">
      <c r="A21" s="955" t="s">
        <v>163</v>
      </c>
      <c r="B21" s="956"/>
      <c r="C21" s="956"/>
      <c r="D21" s="956"/>
      <c r="E21" s="957"/>
    </row>
    <row r="22" spans="1:11" ht="22.5" customHeight="1" x14ac:dyDescent="0.2">
      <c r="A22" s="955" t="s">
        <v>162</v>
      </c>
      <c r="B22" s="956"/>
      <c r="C22" s="956"/>
      <c r="D22" s="956"/>
      <c r="E22" s="957"/>
    </row>
    <row r="23" spans="1:11" ht="21.75" customHeight="1" x14ac:dyDescent="0.2">
      <c r="A23" s="250"/>
      <c r="B23" s="949" t="s">
        <v>267</v>
      </c>
      <c r="C23" s="950"/>
      <c r="D23" s="950"/>
      <c r="E23" s="951"/>
      <c r="F23" s="252"/>
    </row>
    <row r="24" spans="1:11" ht="18.75" customHeight="1" x14ac:dyDescent="0.2">
      <c r="A24" s="250"/>
      <c r="B24" s="968" t="s">
        <v>361</v>
      </c>
      <c r="C24" s="968"/>
      <c r="D24" s="968"/>
      <c r="E24" s="969"/>
    </row>
    <row r="25" spans="1:11" ht="34.5" customHeight="1" x14ac:dyDescent="0.2">
      <c r="A25" s="250"/>
      <c r="B25" s="968" t="s">
        <v>227</v>
      </c>
      <c r="C25" s="968"/>
      <c r="D25" s="968"/>
      <c r="E25" s="969"/>
    </row>
    <row r="26" spans="1:11" ht="18" customHeight="1" x14ac:dyDescent="0.2">
      <c r="A26" s="250"/>
      <c r="B26" s="968" t="s">
        <v>161</v>
      </c>
      <c r="C26" s="968"/>
      <c r="D26" s="968"/>
      <c r="E26" s="969"/>
    </row>
    <row r="27" spans="1:11" ht="7.5" customHeight="1" x14ac:dyDescent="0.2">
      <c r="A27" s="247"/>
      <c r="B27" s="248"/>
      <c r="C27" s="248"/>
      <c r="D27" s="248"/>
      <c r="E27" s="249"/>
    </row>
    <row r="28" spans="1:11" ht="21" customHeight="1" x14ac:dyDescent="0.25">
      <c r="A28" s="952" t="s">
        <v>165</v>
      </c>
      <c r="B28" s="953"/>
      <c r="C28" s="953"/>
      <c r="D28" s="953"/>
      <c r="E28" s="954"/>
    </row>
    <row r="29" spans="1:11" ht="22.5" customHeight="1" x14ac:dyDescent="0.2">
      <c r="A29" s="970" t="s">
        <v>141</v>
      </c>
      <c r="B29" s="971"/>
      <c r="C29" s="971"/>
      <c r="D29" s="971"/>
      <c r="E29" s="972"/>
    </row>
    <row r="30" spans="1:11" ht="29.25" customHeight="1" x14ac:dyDescent="0.2">
      <c r="A30" s="252"/>
      <c r="B30" s="949" t="s">
        <v>164</v>
      </c>
      <c r="C30" s="950"/>
      <c r="D30" s="950"/>
      <c r="E30" s="951"/>
      <c r="F30" s="252"/>
    </row>
    <row r="31" spans="1:11" ht="42" customHeight="1" x14ac:dyDescent="0.2">
      <c r="A31" s="253"/>
      <c r="B31" s="965" t="s">
        <v>375</v>
      </c>
      <c r="C31" s="966"/>
      <c r="D31" s="966"/>
      <c r="E31" s="967"/>
    </row>
    <row r="32" spans="1:11" ht="21" customHeight="1" x14ac:dyDescent="0.25">
      <c r="A32" s="952" t="s">
        <v>376</v>
      </c>
      <c r="B32" s="953"/>
      <c r="C32" s="953"/>
      <c r="D32" s="953"/>
      <c r="E32" s="954"/>
    </row>
    <row r="33" spans="1:9" ht="42.75" customHeight="1" x14ac:dyDescent="0.2">
      <c r="A33" s="973" t="s">
        <v>377</v>
      </c>
      <c r="B33" s="974"/>
      <c r="C33" s="974"/>
      <c r="D33" s="974"/>
      <c r="E33" s="975"/>
    </row>
    <row r="34" spans="1:9" ht="6.75" customHeight="1" x14ac:dyDescent="0.2">
      <c r="A34" s="252"/>
      <c r="B34" s="693"/>
      <c r="C34" s="695"/>
      <c r="D34" s="695"/>
      <c r="E34" s="696"/>
    </row>
    <row r="35" spans="1:9" ht="21" customHeight="1" x14ac:dyDescent="0.25">
      <c r="A35" s="952" t="s">
        <v>240</v>
      </c>
      <c r="B35" s="953"/>
      <c r="C35" s="953"/>
      <c r="D35" s="953"/>
      <c r="E35" s="954"/>
      <c r="F35" s="251"/>
      <c r="G35" s="251"/>
      <c r="H35" s="251"/>
      <c r="I35" s="24"/>
    </row>
    <row r="36" spans="1:9" ht="16.5" customHeight="1" x14ac:dyDescent="0.2">
      <c r="A36" s="404"/>
      <c r="B36" s="463"/>
      <c r="C36" s="63"/>
      <c r="D36" s="63"/>
      <c r="E36" s="262"/>
    </row>
    <row r="37" spans="1:9" ht="16.5" customHeight="1" x14ac:dyDescent="0.2">
      <c r="A37" s="405"/>
      <c r="B37" s="463"/>
      <c r="C37" s="63"/>
      <c r="D37" s="63"/>
      <c r="E37" s="262"/>
    </row>
    <row r="38" spans="1:9" ht="16.5" customHeight="1" x14ac:dyDescent="0.2">
      <c r="A38" s="252"/>
      <c r="B38" s="402"/>
      <c r="C38" s="402"/>
      <c r="D38" s="402"/>
      <c r="E38" s="403"/>
      <c r="F38" s="402"/>
      <c r="G38" s="402"/>
      <c r="H38" s="402"/>
      <c r="I38" s="402"/>
    </row>
    <row r="39" spans="1:9" ht="16.5" customHeight="1" x14ac:dyDescent="0.2">
      <c r="A39" s="252"/>
      <c r="B39" s="24"/>
      <c r="C39" s="24"/>
      <c r="D39" s="24"/>
      <c r="E39" s="262"/>
    </row>
    <row r="40" spans="1:9" ht="16.5" customHeight="1" x14ac:dyDescent="0.2">
      <c r="A40" s="252"/>
      <c r="B40" s="24"/>
      <c r="C40" s="24"/>
      <c r="D40" s="24"/>
      <c r="E40" s="262"/>
    </row>
    <row r="41" spans="1:9" ht="16.5" customHeight="1" x14ac:dyDescent="0.2">
      <c r="A41" s="252"/>
      <c r="B41" s="956"/>
      <c r="C41" s="958"/>
      <c r="D41" s="958"/>
      <c r="E41" s="959"/>
    </row>
    <row r="42" spans="1:9" ht="16.5" customHeight="1" x14ac:dyDescent="0.2">
      <c r="A42" s="252"/>
      <c r="B42" s="24"/>
      <c r="C42" s="24"/>
      <c r="D42" s="24"/>
      <c r="E42" s="262"/>
    </row>
    <row r="43" spans="1:9" ht="16.5" customHeight="1" x14ac:dyDescent="0.2">
      <c r="A43" s="252"/>
      <c r="B43" s="24"/>
      <c r="C43" s="24"/>
      <c r="D43" s="24"/>
      <c r="E43" s="262"/>
    </row>
    <row r="44" spans="1:9" x14ac:dyDescent="0.2">
      <c r="A44" s="252"/>
      <c r="B44" s="24"/>
      <c r="C44" s="24"/>
      <c r="D44" s="24"/>
      <c r="E44" s="262"/>
    </row>
    <row r="45" spans="1:9" x14ac:dyDescent="0.2">
      <c r="A45" s="252"/>
      <c r="B45" s="24"/>
      <c r="C45" s="24"/>
      <c r="D45" s="24"/>
      <c r="E45" s="262"/>
    </row>
    <row r="46" spans="1:9" x14ac:dyDescent="0.2">
      <c r="A46" s="252"/>
      <c r="B46" s="24"/>
      <c r="C46" s="24"/>
      <c r="D46" s="24"/>
      <c r="E46" s="262"/>
    </row>
    <row r="47" spans="1:9" x14ac:dyDescent="0.2">
      <c r="A47" s="252"/>
      <c r="B47" s="24"/>
      <c r="C47" s="24"/>
      <c r="D47" s="24"/>
      <c r="E47" s="262"/>
    </row>
    <row r="48" spans="1:9" x14ac:dyDescent="0.2">
      <c r="A48" s="252"/>
      <c r="B48" s="24"/>
      <c r="C48" s="24"/>
      <c r="D48" s="24"/>
      <c r="E48" s="262"/>
    </row>
    <row r="49" spans="1:5" x14ac:dyDescent="0.2">
      <c r="A49" s="252"/>
      <c r="B49" s="24"/>
      <c r="C49" s="24"/>
      <c r="D49" s="24"/>
      <c r="E49" s="262"/>
    </row>
    <row r="50" spans="1:5" x14ac:dyDescent="0.2">
      <c r="A50" s="252"/>
      <c r="B50" s="24"/>
      <c r="C50" s="24"/>
      <c r="D50" s="24"/>
      <c r="E50" s="262"/>
    </row>
    <row r="51" spans="1:5" x14ac:dyDescent="0.2">
      <c r="A51" s="252"/>
      <c r="B51" s="24"/>
      <c r="C51" s="24"/>
      <c r="D51" s="24"/>
      <c r="E51" s="262"/>
    </row>
    <row r="52" spans="1:5" x14ac:dyDescent="0.2">
      <c r="A52" s="252"/>
      <c r="B52" s="24"/>
      <c r="C52" s="24"/>
      <c r="D52" s="24"/>
      <c r="E52" s="262"/>
    </row>
    <row r="53" spans="1:5" x14ac:dyDescent="0.2">
      <c r="A53" s="252"/>
      <c r="B53" s="24"/>
      <c r="C53" s="24"/>
      <c r="D53" s="24"/>
      <c r="E53" s="262"/>
    </row>
    <row r="54" spans="1:5" x14ac:dyDescent="0.2">
      <c r="A54" s="252"/>
      <c r="B54" s="24"/>
      <c r="C54" s="24"/>
      <c r="D54" s="24"/>
      <c r="E54" s="262"/>
    </row>
    <row r="55" spans="1:5" x14ac:dyDescent="0.2">
      <c r="A55" s="252"/>
      <c r="B55" s="24"/>
      <c r="C55" s="24"/>
      <c r="D55" s="24"/>
      <c r="E55" s="262"/>
    </row>
    <row r="56" spans="1:5" x14ac:dyDescent="0.2">
      <c r="A56" s="252"/>
      <c r="B56" s="24"/>
      <c r="C56" s="24"/>
      <c r="D56" s="24"/>
      <c r="E56" s="262"/>
    </row>
    <row r="57" spans="1:5" x14ac:dyDescent="0.2">
      <c r="A57" s="252"/>
      <c r="B57" s="24"/>
      <c r="C57" s="24"/>
      <c r="D57" s="24"/>
      <c r="E57" s="262"/>
    </row>
    <row r="58" spans="1:5" x14ac:dyDescent="0.2">
      <c r="A58" s="252"/>
      <c r="B58" s="24"/>
      <c r="C58" s="24"/>
      <c r="D58" s="24"/>
      <c r="E58" s="262"/>
    </row>
    <row r="59" spans="1:5" x14ac:dyDescent="0.2">
      <c r="A59" s="252"/>
      <c r="B59" s="24"/>
      <c r="C59" s="24"/>
      <c r="D59" s="24"/>
      <c r="E59" s="262"/>
    </row>
    <row r="60" spans="1:5" x14ac:dyDescent="0.2">
      <c r="A60" s="252"/>
      <c r="B60" s="24"/>
      <c r="C60" s="24"/>
      <c r="D60" s="24"/>
      <c r="E60" s="262"/>
    </row>
    <row r="61" spans="1:5" x14ac:dyDescent="0.2">
      <c r="A61" s="252"/>
      <c r="B61" s="24"/>
      <c r="C61" s="24"/>
      <c r="D61" s="24"/>
      <c r="E61" s="262"/>
    </row>
    <row r="62" spans="1:5" x14ac:dyDescent="0.2">
      <c r="A62" s="252"/>
      <c r="B62" s="24"/>
      <c r="C62" s="24"/>
      <c r="D62" s="24"/>
      <c r="E62" s="262"/>
    </row>
    <row r="63" spans="1:5" x14ac:dyDescent="0.2">
      <c r="A63" s="252"/>
      <c r="B63" s="24"/>
      <c r="C63" s="24"/>
      <c r="D63" s="24"/>
      <c r="E63" s="262"/>
    </row>
    <row r="64" spans="1:5" x14ac:dyDescent="0.2">
      <c r="A64" s="252"/>
      <c r="B64" s="24"/>
      <c r="C64" s="24"/>
      <c r="D64" s="24"/>
      <c r="E64" s="262"/>
    </row>
    <row r="65" spans="1:6" ht="17.25" customHeight="1" x14ac:dyDescent="0.2">
      <c r="A65" s="253"/>
      <c r="B65" s="266"/>
      <c r="C65" s="266"/>
      <c r="D65" s="266"/>
      <c r="E65" s="263"/>
    </row>
    <row r="66" spans="1:6" x14ac:dyDescent="0.2">
      <c r="A66" s="440"/>
      <c r="B66" s="267"/>
      <c r="C66" s="267"/>
      <c r="D66" s="267"/>
      <c r="E66" s="441"/>
    </row>
    <row r="67" spans="1:6" x14ac:dyDescent="0.2">
      <c r="A67" s="252"/>
      <c r="B67" s="24"/>
      <c r="C67" s="24"/>
      <c r="D67" s="24"/>
      <c r="E67" s="262"/>
    </row>
    <row r="68" spans="1:6" x14ac:dyDescent="0.2">
      <c r="A68" s="252"/>
      <c r="B68" s="24"/>
      <c r="C68" s="24"/>
      <c r="D68" s="24"/>
      <c r="E68" s="262"/>
    </row>
    <row r="69" spans="1:6" x14ac:dyDescent="0.2">
      <c r="A69" s="252"/>
      <c r="B69" s="24"/>
      <c r="C69" s="24"/>
      <c r="D69" s="24"/>
      <c r="E69" s="262"/>
    </row>
    <row r="70" spans="1:6" x14ac:dyDescent="0.2">
      <c r="A70" s="252"/>
      <c r="B70" s="24"/>
      <c r="C70" s="24"/>
      <c r="D70" s="24"/>
      <c r="E70" s="262"/>
    </row>
    <row r="71" spans="1:6" x14ac:dyDescent="0.2">
      <c r="A71" s="252"/>
      <c r="B71" s="24"/>
      <c r="C71" s="24"/>
      <c r="D71" s="24"/>
      <c r="E71" s="262"/>
      <c r="F71" s="252"/>
    </row>
    <row r="72" spans="1:6" x14ac:dyDescent="0.2">
      <c r="A72" s="253"/>
      <c r="B72" s="266"/>
      <c r="C72" s="266"/>
      <c r="D72" s="266"/>
      <c r="E72" s="263"/>
      <c r="F72" s="252"/>
    </row>
  </sheetData>
  <sheetProtection algorithmName="SHA-512" hashValue="roJAHcFBMYKDhdxPr2B5QT2ZvrwWt4Pf0EYVpvR+Pwa01I8VAPAqr/4mF6UQ3Zha4kGwlejM9zWWbi5xi5wgAw==" saltValue="kqQ9+m/kKYizAp3bCOhAFw==" spinCount="100000" sheet="1" objects="1" scenarios="1" selectLockedCells="1"/>
  <customSheetViews>
    <customSheetView guid="{FE27F3BB-8686-48A9-9FE6-C2348F62E79E}" showGridLines="0" fitToPage="1">
      <selection activeCell="G7" sqref="G7"/>
      <pageMargins left="0.70866141732283472" right="0.70866141732283472" top="0.78740157480314965" bottom="0.78740157480314965" header="0.31496062992125984" footer="0.31496062992125984"/>
      <pageSetup paperSize="9" scale="53" orientation="portrait" r:id="rId1"/>
    </customSheetView>
  </customSheetViews>
  <mergeCells count="31">
    <mergeCell ref="A1:E1"/>
    <mergeCell ref="A6:E6"/>
    <mergeCell ref="A4:E4"/>
    <mergeCell ref="A28:E28"/>
    <mergeCell ref="A7:E7"/>
    <mergeCell ref="A9:E9"/>
    <mergeCell ref="A16:E16"/>
    <mergeCell ref="A20:E20"/>
    <mergeCell ref="B17:E17"/>
    <mergeCell ref="A10:E10"/>
    <mergeCell ref="A8:E8"/>
    <mergeCell ref="A5:E5"/>
    <mergeCell ref="A3:E3"/>
    <mergeCell ref="B41:E41"/>
    <mergeCell ref="A14:E14"/>
    <mergeCell ref="A11:C11"/>
    <mergeCell ref="B30:E30"/>
    <mergeCell ref="B31:E31"/>
    <mergeCell ref="B25:E25"/>
    <mergeCell ref="B26:E26"/>
    <mergeCell ref="A29:E29"/>
    <mergeCell ref="B24:E24"/>
    <mergeCell ref="A35:E35"/>
    <mergeCell ref="A32:E32"/>
    <mergeCell ref="A33:E33"/>
    <mergeCell ref="G20:K20"/>
    <mergeCell ref="B23:E23"/>
    <mergeCell ref="A15:E15"/>
    <mergeCell ref="A19:E19"/>
    <mergeCell ref="A22:E22"/>
    <mergeCell ref="A21:E21"/>
  </mergeCells>
  <printOptions horizontalCentered="1"/>
  <pageMargins left="0.70866141732283472" right="0.70866141732283472" top="0.74803149606299213" bottom="0.74803149606299213" header="0.31496062992125984" footer="0.31496062992125984"/>
  <pageSetup paperSize="9" scale="52" orientation="portrait" r:id="rId2"/>
  <headerFooter alignWithMargins="0">
    <oddFooter>&amp;L&amp;D&amp;RSeite &amp;P von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BI462"/>
  <sheetViews>
    <sheetView showGridLines="0" zoomScaleNormal="100" workbookViewId="0">
      <selection activeCell="D33" sqref="D33"/>
    </sheetView>
  </sheetViews>
  <sheetFormatPr baseColWidth="10" defaultRowHeight="17.100000000000001" customHeight="1" x14ac:dyDescent="0.2"/>
  <cols>
    <col min="1" max="1" width="4.85546875" customWidth="1"/>
    <col min="2" max="2" width="4" customWidth="1"/>
    <col min="3" max="3" width="16" customWidth="1"/>
    <col min="4" max="4" width="17.42578125" customWidth="1"/>
    <col min="5" max="5" width="16.28515625" customWidth="1"/>
    <col min="6" max="6" width="23.42578125" customWidth="1"/>
    <col min="7" max="7" width="17" customWidth="1"/>
    <col min="8" max="8" width="15.5703125" customWidth="1"/>
    <col min="9" max="9" width="2" style="121" hidden="1" customWidth="1"/>
    <col min="10" max="10" width="11.42578125" style="122" hidden="1" customWidth="1"/>
    <col min="11" max="11" width="13.85546875" style="122" hidden="1" customWidth="1"/>
    <col min="12" max="12" width="14.85546875" style="122" hidden="1" customWidth="1"/>
    <col min="13" max="15" width="11.42578125" style="122" hidden="1" customWidth="1"/>
    <col min="16" max="16" width="14.140625" style="778" hidden="1" customWidth="1"/>
    <col min="17" max="17" width="14.28515625" style="778" hidden="1" customWidth="1"/>
    <col min="18" max="18" width="11.42578125" style="778" hidden="1" customWidth="1"/>
    <col min="19" max="19" width="11.42578125" style="778" customWidth="1"/>
    <col min="20" max="22" width="11.42578125" style="155" customWidth="1"/>
    <col min="23" max="26" width="11.42578125" style="93" customWidth="1"/>
    <col min="27" max="61" width="11.42578125" style="93"/>
  </cols>
  <sheetData>
    <row r="1" spans="1:26" ht="42" customHeight="1" x14ac:dyDescent="0.3">
      <c r="A1" s="1019" t="s">
        <v>253</v>
      </c>
      <c r="B1" s="1020"/>
      <c r="C1" s="1020"/>
      <c r="D1" s="1020"/>
      <c r="E1" s="1020"/>
      <c r="F1" s="1020"/>
      <c r="G1" s="1020"/>
      <c r="H1" s="1021"/>
    </row>
    <row r="2" spans="1:26" ht="12" customHeight="1" x14ac:dyDescent="0.2">
      <c r="A2" s="423" t="str">
        <f>Erklärung!A2</f>
        <v>Version 3.2</v>
      </c>
      <c r="B2" s="424"/>
      <c r="C2" s="424"/>
      <c r="D2" s="424"/>
      <c r="E2" s="424"/>
      <c r="F2" s="424"/>
      <c r="G2" s="530" t="str">
        <f>Erklärung!D2</f>
        <v>Stand: August 2016</v>
      </c>
      <c r="H2" s="479"/>
    </row>
    <row r="3" spans="1:26" ht="17.100000000000001" customHeight="1" x14ac:dyDescent="0.2">
      <c r="A3" s="45"/>
      <c r="B3" s="1"/>
      <c r="C3" s="1"/>
      <c r="D3" s="1"/>
      <c r="E3" s="1"/>
      <c r="F3" s="1"/>
      <c r="G3" s="1"/>
      <c r="H3" s="5"/>
    </row>
    <row r="4" spans="1:26" ht="17.100000000000001" customHeight="1" x14ac:dyDescent="0.2">
      <c r="A4" s="45"/>
      <c r="B4" s="1"/>
      <c r="C4" s="1"/>
      <c r="D4" s="1"/>
      <c r="E4" s="1"/>
      <c r="F4" s="1"/>
      <c r="G4" s="1"/>
      <c r="H4" s="5"/>
      <c r="T4" s="112"/>
      <c r="U4" s="112"/>
      <c r="V4" s="112"/>
      <c r="W4" s="111"/>
      <c r="X4" s="111"/>
      <c r="Y4" s="111"/>
      <c r="Z4" s="111"/>
    </row>
    <row r="5" spans="1:26" ht="15" customHeight="1" x14ac:dyDescent="0.2">
      <c r="A5" s="45"/>
      <c r="B5" s="1"/>
      <c r="C5" s="1"/>
      <c r="D5" s="1"/>
      <c r="E5" s="1"/>
      <c r="F5" s="1"/>
      <c r="G5" s="1"/>
      <c r="H5" s="5"/>
      <c r="K5" s="123"/>
      <c r="T5" s="112"/>
      <c r="U5" s="112"/>
      <c r="V5" s="112"/>
      <c r="W5" s="111"/>
      <c r="X5" s="111"/>
      <c r="Y5" s="111"/>
      <c r="Z5" s="111"/>
    </row>
    <row r="6" spans="1:26" ht="16.5" customHeight="1" x14ac:dyDescent="0.2">
      <c r="A6" s="474" t="s">
        <v>1</v>
      </c>
      <c r="B6" s="1"/>
      <c r="C6" s="1"/>
      <c r="D6" s="1"/>
      <c r="E6" s="1"/>
      <c r="F6" s="1"/>
      <c r="G6" s="1"/>
      <c r="H6" s="5"/>
      <c r="K6" s="124"/>
      <c r="T6" s="112"/>
      <c r="U6" s="112"/>
      <c r="V6" s="112"/>
      <c r="W6" s="111"/>
      <c r="X6" s="111"/>
      <c r="Y6" s="111"/>
      <c r="Z6" s="111"/>
    </row>
    <row r="7" spans="1:26" ht="17.100000000000001" customHeight="1" x14ac:dyDescent="0.2">
      <c r="A7" s="474"/>
      <c r="B7" s="1"/>
      <c r="C7" s="1023"/>
      <c r="D7" s="1024"/>
      <c r="E7" s="1025"/>
      <c r="F7" s="4"/>
      <c r="G7" s="4"/>
      <c r="H7" s="5"/>
      <c r="T7" s="112"/>
      <c r="U7" s="112"/>
      <c r="V7" s="112"/>
      <c r="W7" s="111"/>
      <c r="X7" s="111"/>
      <c r="Y7" s="111"/>
      <c r="Z7" s="111"/>
    </row>
    <row r="8" spans="1:26" s="93" customFormat="1" ht="7.5" customHeight="1" x14ac:dyDescent="0.25">
      <c r="A8" s="541"/>
      <c r="B8" s="542"/>
      <c r="C8" s="290"/>
      <c r="D8" s="290"/>
      <c r="E8" s="290"/>
      <c r="F8" s="539"/>
      <c r="G8" s="539"/>
      <c r="H8" s="540"/>
      <c r="I8" s="155"/>
      <c r="J8" s="122"/>
      <c r="K8" s="125"/>
      <c r="L8" s="122"/>
      <c r="M8" s="122"/>
      <c r="N8" s="122"/>
      <c r="O8" s="122"/>
      <c r="P8" s="778"/>
      <c r="Q8" s="778"/>
      <c r="R8" s="778"/>
      <c r="S8" s="778"/>
      <c r="T8" s="112"/>
      <c r="U8" s="112"/>
      <c r="V8" s="112"/>
      <c r="W8" s="111"/>
      <c r="X8" s="111"/>
      <c r="Y8" s="111"/>
      <c r="Z8" s="111"/>
    </row>
    <row r="9" spans="1:26" s="93" customFormat="1" ht="21.75" customHeight="1" x14ac:dyDescent="0.2">
      <c r="A9" s="1040" t="s">
        <v>276</v>
      </c>
      <c r="B9" s="1041"/>
      <c r="C9" s="1041"/>
      <c r="D9" s="1041"/>
      <c r="E9" s="1041"/>
      <c r="F9" s="1041"/>
      <c r="G9" s="1041"/>
      <c r="H9" s="92"/>
      <c r="I9" s="155"/>
      <c r="J9" s="122"/>
      <c r="K9" s="126"/>
      <c r="L9" s="122"/>
      <c r="M9" s="122"/>
      <c r="N9" s="122"/>
      <c r="O9" s="122"/>
      <c r="P9" s="778"/>
      <c r="Q9" s="778"/>
      <c r="R9" s="778"/>
      <c r="S9" s="778"/>
      <c r="T9" s="112"/>
      <c r="U9" s="112"/>
      <c r="V9" s="112"/>
      <c r="W9" s="111"/>
      <c r="X9" s="111"/>
      <c r="Y9" s="111"/>
      <c r="Z9" s="111"/>
    </row>
    <row r="10" spans="1:26" s="93" customFormat="1" ht="17.100000000000001" customHeight="1" x14ac:dyDescent="0.2">
      <c r="A10" s="1022" t="s">
        <v>228</v>
      </c>
      <c r="B10" s="995"/>
      <c r="C10" s="1023"/>
      <c r="D10" s="1024"/>
      <c r="E10" s="1024"/>
      <c r="F10" s="1024"/>
      <c r="G10" s="1025"/>
      <c r="H10" s="543"/>
      <c r="I10" s="155"/>
      <c r="J10" s="122"/>
      <c r="K10" s="127"/>
      <c r="L10" s="122"/>
      <c r="M10" s="122"/>
      <c r="N10" s="122"/>
      <c r="O10" s="122"/>
      <c r="P10" s="778"/>
      <c r="Q10" s="778"/>
      <c r="R10" s="778"/>
      <c r="S10" s="778"/>
      <c r="T10" s="112"/>
      <c r="U10" s="112"/>
      <c r="V10" s="112"/>
      <c r="W10" s="111"/>
      <c r="X10" s="111"/>
      <c r="Y10" s="111"/>
      <c r="Z10" s="111"/>
    </row>
    <row r="11" spans="1:26" s="93" customFormat="1" ht="17.100000000000001" customHeight="1" x14ac:dyDescent="0.2">
      <c r="A11" s="1022" t="s">
        <v>229</v>
      </c>
      <c r="B11" s="995"/>
      <c r="C11" s="1023"/>
      <c r="D11" s="1024"/>
      <c r="E11" s="1024"/>
      <c r="F11" s="1024"/>
      <c r="G11" s="1025"/>
      <c r="H11" s="543"/>
      <c r="I11" s="155"/>
      <c r="J11" s="122"/>
      <c r="K11" s="125"/>
      <c r="L11" s="122"/>
      <c r="M11" s="122"/>
      <c r="N11" s="122"/>
      <c r="O11" s="122"/>
      <c r="P11" s="778"/>
      <c r="Q11" s="778"/>
      <c r="R11" s="778"/>
      <c r="S11" s="778"/>
      <c r="T11" s="112"/>
      <c r="U11" s="112"/>
      <c r="V11" s="112"/>
      <c r="W11" s="111"/>
      <c r="X11" s="111"/>
      <c r="Y11" s="111"/>
      <c r="Z11" s="111"/>
    </row>
    <row r="12" spans="1:26" s="93" customFormat="1" ht="17.100000000000001" customHeight="1" x14ac:dyDescent="0.2">
      <c r="A12" s="335"/>
      <c r="B12" s="137"/>
      <c r="C12" s="1023"/>
      <c r="D12" s="1024"/>
      <c r="E12" s="1024"/>
      <c r="F12" s="1024"/>
      <c r="G12" s="1025"/>
      <c r="H12" s="334"/>
      <c r="I12" s="155"/>
      <c r="J12" s="122"/>
      <c r="K12" s="125"/>
      <c r="L12" s="122"/>
      <c r="M12" s="122"/>
      <c r="N12" s="122"/>
      <c r="O12" s="122"/>
      <c r="P12" s="778"/>
      <c r="Q12" s="778"/>
      <c r="R12" s="778"/>
      <c r="S12" s="778"/>
      <c r="T12" s="112"/>
      <c r="U12" s="112"/>
      <c r="V12" s="112"/>
      <c r="W12" s="111"/>
      <c r="X12" s="111"/>
      <c r="Y12" s="111"/>
      <c r="Z12" s="111"/>
    </row>
    <row r="13" spans="1:26" s="93" customFormat="1" ht="17.100000000000001" customHeight="1" x14ac:dyDescent="0.2">
      <c r="A13" s="161"/>
      <c r="B13" s="270"/>
      <c r="C13" s="270"/>
      <c r="D13" s="270"/>
      <c r="E13" s="165"/>
      <c r="F13" s="165"/>
      <c r="G13" s="165"/>
      <c r="H13" s="336"/>
      <c r="I13" s="502"/>
      <c r="J13" s="135"/>
      <c r="K13" s="271"/>
      <c r="L13" s="122"/>
      <c r="M13" s="122"/>
      <c r="N13" s="122"/>
      <c r="O13" s="122"/>
      <c r="P13" s="778"/>
      <c r="Q13" s="778"/>
      <c r="R13" s="778"/>
      <c r="S13" s="778"/>
      <c r="T13" s="112"/>
      <c r="U13" s="112"/>
      <c r="V13" s="112"/>
      <c r="W13" s="111"/>
      <c r="X13" s="111"/>
      <c r="Y13" s="111"/>
      <c r="Z13" s="111"/>
    </row>
    <row r="14" spans="1:26" s="93" customFormat="1" ht="21.75" customHeight="1" x14ac:dyDescent="0.2">
      <c r="A14" s="337"/>
      <c r="B14" s="1052" t="s">
        <v>84</v>
      </c>
      <c r="C14" s="1052"/>
      <c r="D14" s="1052"/>
      <c r="E14" s="1052"/>
      <c r="F14" s="1052"/>
      <c r="G14" s="1052"/>
      <c r="H14" s="1053"/>
      <c r="I14" s="155"/>
      <c r="J14" s="122"/>
      <c r="K14" s="125"/>
      <c r="L14" s="122"/>
      <c r="M14" s="122"/>
      <c r="N14" s="122"/>
      <c r="O14" s="122"/>
      <c r="P14" s="778"/>
      <c r="Q14" s="778"/>
      <c r="R14" s="778"/>
      <c r="S14" s="778"/>
      <c r="T14" s="112"/>
      <c r="U14" s="112"/>
      <c r="V14" s="112"/>
      <c r="W14" s="111"/>
      <c r="X14" s="111"/>
      <c r="Y14" s="111"/>
      <c r="Z14" s="111"/>
    </row>
    <row r="15" spans="1:26" s="93" customFormat="1" ht="51.75" customHeight="1" x14ac:dyDescent="0.2">
      <c r="A15" s="1054" t="s">
        <v>246</v>
      </c>
      <c r="B15" s="1055"/>
      <c r="C15" s="1055"/>
      <c r="D15" s="1055"/>
      <c r="E15" s="1055"/>
      <c r="F15" s="1055"/>
      <c r="G15" s="1055"/>
      <c r="H15" s="1056"/>
      <c r="I15" s="155"/>
      <c r="J15" s="122"/>
      <c r="K15" s="127"/>
      <c r="L15" s="122"/>
      <c r="M15" s="122"/>
      <c r="N15" s="122"/>
      <c r="O15" s="122"/>
      <c r="P15" s="778"/>
      <c r="Q15" s="778"/>
      <c r="R15" s="778"/>
      <c r="S15" s="778"/>
      <c r="T15" s="112"/>
      <c r="U15" s="112"/>
      <c r="V15" s="112"/>
      <c r="W15" s="111"/>
      <c r="X15" s="111"/>
      <c r="Y15" s="111"/>
      <c r="Z15" s="111"/>
    </row>
    <row r="16" spans="1:26" s="93" customFormat="1" ht="5.25" customHeight="1" x14ac:dyDescent="0.2">
      <c r="A16" s="338"/>
      <c r="B16" s="333"/>
      <c r="C16" s="333"/>
      <c r="D16" s="141"/>
      <c r="E16" s="141"/>
      <c r="F16" s="141"/>
      <c r="G16" s="141"/>
      <c r="H16" s="339"/>
      <c r="I16" s="155"/>
      <c r="J16" s="122"/>
      <c r="K16" s="127"/>
      <c r="L16" s="122"/>
      <c r="M16" s="122"/>
      <c r="N16" s="122"/>
      <c r="O16" s="122"/>
      <c r="P16" s="778"/>
      <c r="Q16" s="778"/>
      <c r="R16" s="778"/>
      <c r="S16" s="778"/>
      <c r="T16" s="113"/>
      <c r="U16" s="113"/>
      <c r="V16" s="113"/>
      <c r="W16" s="140"/>
      <c r="X16" s="111"/>
      <c r="Y16" s="111"/>
      <c r="Z16" s="111"/>
    </row>
    <row r="17" spans="1:26" ht="24" customHeight="1" x14ac:dyDescent="0.2">
      <c r="A17" s="1057" t="s">
        <v>247</v>
      </c>
      <c r="B17" s="1058"/>
      <c r="C17" s="1058"/>
      <c r="D17" s="1058"/>
      <c r="E17" s="1058"/>
      <c r="F17" s="1058"/>
      <c r="G17" s="1058"/>
      <c r="H17" s="1059"/>
      <c r="J17" s="195"/>
      <c r="K17" s="196" t="b">
        <v>0</v>
      </c>
      <c r="L17" s="197"/>
      <c r="M17" s="198"/>
      <c r="N17" s="117"/>
      <c r="O17" s="117"/>
      <c r="P17" s="779"/>
      <c r="Q17" s="779"/>
      <c r="R17" s="779"/>
      <c r="S17" s="779"/>
      <c r="T17" s="780"/>
      <c r="U17" s="780"/>
      <c r="V17" s="780"/>
      <c r="W17" s="113"/>
      <c r="X17" s="112"/>
      <c r="Y17" s="112"/>
      <c r="Z17" s="111"/>
    </row>
    <row r="18" spans="1:26" ht="19.5" customHeight="1" x14ac:dyDescent="0.2">
      <c r="A18" s="15">
        <v>1</v>
      </c>
      <c r="B18" s="1026" t="s">
        <v>2</v>
      </c>
      <c r="C18" s="1027"/>
      <c r="D18" s="1027"/>
      <c r="E18" s="1027"/>
      <c r="F18" s="1045" t="str">
        <f>IF(AND(K17=TRUE,OR(K18=TRUE,L18=TRUE,M18=TRUE)),"Alternativenprüfung bezieht sich nur auf den Neubau",IF(OR(K18,L18,M18=TRUE),"keine Alternativenprüfung notwendig",""))</f>
        <v/>
      </c>
      <c r="G18" s="1045"/>
      <c r="H18" s="1046"/>
      <c r="J18" s="199" t="s">
        <v>75</v>
      </c>
      <c r="K18" s="200" t="b">
        <v>0</v>
      </c>
      <c r="L18" s="201" t="b">
        <v>0</v>
      </c>
      <c r="M18" s="202" t="b">
        <v>0</v>
      </c>
      <c r="N18" s="117"/>
      <c r="O18" s="117"/>
      <c r="P18" s="779"/>
      <c r="Q18" s="779"/>
      <c r="R18" s="779"/>
      <c r="S18" s="779"/>
      <c r="T18" s="780"/>
      <c r="U18" s="780"/>
      <c r="V18" s="780"/>
      <c r="W18" s="113"/>
      <c r="X18" s="112"/>
      <c r="Y18" s="112"/>
      <c r="Z18" s="111"/>
    </row>
    <row r="19" spans="1:26" ht="17.100000000000001" customHeight="1" x14ac:dyDescent="0.2">
      <c r="A19" s="2"/>
      <c r="B19" s="3"/>
      <c r="C19" s="4"/>
      <c r="D19" s="4"/>
      <c r="E19" s="4"/>
      <c r="F19" s="1060"/>
      <c r="G19" s="1060"/>
      <c r="H19" s="1061"/>
      <c r="J19" s="117"/>
      <c r="K19" s="116"/>
      <c r="L19" s="117"/>
      <c r="M19" s="117"/>
      <c r="N19" s="117"/>
      <c r="O19" s="117"/>
      <c r="P19" s="779"/>
      <c r="Q19" s="779"/>
      <c r="R19" s="779"/>
      <c r="S19" s="779"/>
      <c r="T19" s="780"/>
      <c r="U19" s="780"/>
      <c r="V19" s="780"/>
      <c r="W19" s="113"/>
      <c r="X19" s="112"/>
      <c r="Y19" s="112"/>
      <c r="Z19" s="111"/>
    </row>
    <row r="20" spans="1:26" ht="17.100000000000001" customHeight="1" x14ac:dyDescent="0.2">
      <c r="A20" s="2"/>
      <c r="B20" s="3"/>
      <c r="C20" s="4"/>
      <c r="D20" s="4"/>
      <c r="E20" s="4"/>
      <c r="F20" s="4"/>
      <c r="G20" s="992"/>
      <c r="H20" s="1032"/>
      <c r="J20" s="117"/>
      <c r="K20" s="117"/>
      <c r="L20" s="117"/>
      <c r="M20" s="117"/>
      <c r="N20" s="117"/>
      <c r="O20" s="117"/>
      <c r="P20" s="779"/>
      <c r="Q20" s="779"/>
      <c r="R20" s="779"/>
      <c r="S20" s="779"/>
      <c r="T20" s="780"/>
      <c r="U20" s="780"/>
      <c r="V20" s="780"/>
      <c r="W20" s="113"/>
      <c r="X20" s="112"/>
      <c r="Y20" s="112"/>
      <c r="Z20" s="111"/>
    </row>
    <row r="21" spans="1:26" s="93" customFormat="1" ht="7.5" customHeight="1" x14ac:dyDescent="0.2">
      <c r="A21" s="94"/>
      <c r="B21" s="1033"/>
      <c r="C21" s="1034"/>
      <c r="D21" s="1034"/>
      <c r="E21" s="1034"/>
      <c r="F21" s="1034"/>
      <c r="G21" s="1034"/>
      <c r="H21" s="1035"/>
      <c r="I21" s="155"/>
      <c r="J21" s="117"/>
      <c r="K21" s="117"/>
      <c r="L21" s="117"/>
      <c r="M21" s="117"/>
      <c r="N21" s="117"/>
      <c r="O21" s="117"/>
      <c r="P21" s="779"/>
      <c r="Q21" s="779"/>
      <c r="R21" s="779"/>
      <c r="S21" s="779"/>
      <c r="T21" s="780"/>
      <c r="U21" s="780"/>
      <c r="V21" s="780"/>
      <c r="W21" s="113"/>
      <c r="X21" s="112"/>
      <c r="Y21" s="112"/>
      <c r="Z21" s="111"/>
    </row>
    <row r="22" spans="1:26" ht="30.75" customHeight="1" x14ac:dyDescent="0.2">
      <c r="A22" s="2"/>
      <c r="B22" s="1026" t="s">
        <v>443</v>
      </c>
      <c r="C22" s="1027"/>
      <c r="D22" s="1027"/>
      <c r="E22" s="1027"/>
      <c r="F22" s="1043" t="str">
        <f>IF(OR(J23,J24,J25,K22,K23,K24,K25)=TRUE,"Dieses Tool wurde für Wohngebäude konzipiert. Ändern Sie bitte im Energieausweis die Nutzung in Wohngebäude.","")</f>
        <v/>
      </c>
      <c r="G22" s="1043"/>
      <c r="H22" s="1044"/>
      <c r="J22" s="117" t="b">
        <v>0</v>
      </c>
      <c r="K22" s="341" t="b">
        <v>0</v>
      </c>
      <c r="L22" s="117"/>
      <c r="M22" s="117"/>
      <c r="N22" s="117"/>
      <c r="O22" s="117"/>
      <c r="P22" s="779"/>
      <c r="Q22" s="779"/>
      <c r="R22" s="779"/>
      <c r="S22" s="779"/>
      <c r="T22" s="780"/>
      <c r="U22" s="780"/>
      <c r="V22" s="780"/>
      <c r="W22" s="113"/>
      <c r="X22" s="112"/>
      <c r="Y22" s="112"/>
      <c r="Z22" s="111"/>
    </row>
    <row r="23" spans="1:26" ht="16.5" customHeight="1" x14ac:dyDescent="0.2">
      <c r="A23" s="2"/>
      <c r="B23" s="8"/>
      <c r="C23" s="17"/>
      <c r="D23" s="4"/>
      <c r="E23" s="4"/>
      <c r="F23" s="4"/>
      <c r="G23" s="4"/>
      <c r="H23" s="5"/>
      <c r="J23" s="117" t="b">
        <v>0</v>
      </c>
      <c r="K23" s="117" t="b">
        <v>0</v>
      </c>
      <c r="L23" s="117"/>
      <c r="M23" s="117"/>
      <c r="N23" s="117"/>
      <c r="O23" s="117"/>
      <c r="P23" s="779"/>
      <c r="Q23" s="779"/>
      <c r="R23" s="779"/>
      <c r="S23" s="779"/>
      <c r="T23" s="780"/>
      <c r="U23" s="780"/>
      <c r="V23" s="780"/>
      <c r="W23" s="113"/>
      <c r="X23" s="112"/>
      <c r="Y23" s="112"/>
      <c r="Z23" s="111"/>
    </row>
    <row r="24" spans="1:26" ht="17.100000000000001" customHeight="1" x14ac:dyDescent="0.2">
      <c r="A24" s="2"/>
      <c r="B24" s="8"/>
      <c r="C24" s="17"/>
      <c r="D24" s="4"/>
      <c r="E24" s="4"/>
      <c r="F24" s="4"/>
      <c r="G24" s="4"/>
      <c r="H24" s="5"/>
      <c r="J24" s="117" t="b">
        <v>0</v>
      </c>
      <c r="K24" s="117" t="b">
        <v>0</v>
      </c>
      <c r="L24" s="117"/>
      <c r="M24" s="117"/>
      <c r="N24" s="117"/>
      <c r="O24" s="117"/>
      <c r="P24" s="779"/>
      <c r="Q24" s="779"/>
      <c r="R24" s="779"/>
      <c r="S24" s="779"/>
      <c r="T24" s="780"/>
      <c r="U24" s="780"/>
      <c r="V24" s="780"/>
      <c r="W24" s="113"/>
      <c r="X24" s="112"/>
      <c r="Y24" s="112"/>
      <c r="Z24" s="111"/>
    </row>
    <row r="25" spans="1:26" ht="17.100000000000001" customHeight="1" x14ac:dyDescent="0.2">
      <c r="A25" s="2"/>
      <c r="B25" s="3"/>
      <c r="C25" s="4"/>
      <c r="D25" s="4"/>
      <c r="E25" s="4"/>
      <c r="F25" s="4"/>
      <c r="G25" s="4"/>
      <c r="H25" s="5"/>
      <c r="J25" s="117" t="b">
        <v>0</v>
      </c>
      <c r="K25" s="117" t="b">
        <v>0</v>
      </c>
      <c r="L25" s="117"/>
      <c r="M25" s="117"/>
      <c r="N25" s="117"/>
      <c r="O25" s="117"/>
      <c r="P25" s="779"/>
      <c r="Q25" s="779"/>
      <c r="R25" s="779"/>
      <c r="S25" s="779"/>
      <c r="T25" s="780"/>
      <c r="U25" s="780"/>
      <c r="V25" s="780"/>
      <c r="W25" s="113"/>
      <c r="X25" s="112"/>
      <c r="Y25" s="112"/>
      <c r="Z25" s="111"/>
    </row>
    <row r="26" spans="1:26" ht="17.100000000000001" customHeight="1" x14ac:dyDescent="0.2">
      <c r="A26" s="2"/>
      <c r="B26" s="3"/>
      <c r="C26" s="4"/>
      <c r="D26" s="506"/>
      <c r="E26" s="4"/>
      <c r="F26" s="1036"/>
      <c r="G26" s="1036"/>
      <c r="H26" s="1037"/>
      <c r="J26" s="117"/>
      <c r="K26" s="119"/>
      <c r="L26" s="117"/>
      <c r="M26" s="117"/>
      <c r="N26" s="117"/>
      <c r="O26" s="117"/>
      <c r="P26" s="779"/>
      <c r="Q26" s="779"/>
      <c r="R26" s="779"/>
      <c r="S26" s="779"/>
      <c r="T26" s="780"/>
      <c r="U26" s="780"/>
      <c r="V26" s="780"/>
      <c r="W26" s="113"/>
      <c r="X26" s="112"/>
      <c r="Y26" s="112"/>
      <c r="Z26" s="111"/>
    </row>
    <row r="27" spans="1:26" ht="7.5" customHeight="1" x14ac:dyDescent="0.2">
      <c r="A27" s="2"/>
      <c r="B27" s="6"/>
      <c r="C27" s="7"/>
      <c r="D27" s="52"/>
      <c r="E27" s="7"/>
      <c r="F27" s="53"/>
      <c r="G27" s="108"/>
      <c r="H27" s="109"/>
      <c r="J27" s="117"/>
      <c r="K27" s="117"/>
      <c r="L27" s="117"/>
      <c r="M27" s="117"/>
      <c r="N27" s="117"/>
      <c r="O27" s="117"/>
      <c r="P27" s="779"/>
      <c r="Q27" s="779"/>
      <c r="R27" s="779"/>
      <c r="S27" s="779"/>
      <c r="T27" s="780"/>
      <c r="U27" s="780"/>
      <c r="V27" s="780"/>
      <c r="W27" s="113"/>
      <c r="X27" s="112"/>
      <c r="Y27" s="112"/>
      <c r="Z27" s="111"/>
    </row>
    <row r="28" spans="1:26" ht="17.100000000000001" customHeight="1" x14ac:dyDescent="0.2">
      <c r="A28" s="15">
        <v>2</v>
      </c>
      <c r="B28" s="1026" t="s">
        <v>151</v>
      </c>
      <c r="C28" s="1027"/>
      <c r="D28" s="1027"/>
      <c r="E28" s="1027"/>
      <c r="F28" s="1038" t="str">
        <f>IF(D33&gt;N35,"Heizwärmebedarf: Anforderung TBO nicht erfüllt!","")</f>
        <v/>
      </c>
      <c r="G28" s="1038"/>
      <c r="H28" s="1039"/>
      <c r="J28" s="117"/>
      <c r="K28" s="117"/>
      <c r="L28" s="117"/>
      <c r="M28" s="117"/>
      <c r="N28" s="117"/>
      <c r="O28" s="117"/>
      <c r="P28" s="779"/>
      <c r="Q28" s="779"/>
      <c r="R28" s="779"/>
      <c r="S28" s="779"/>
      <c r="T28" s="780"/>
      <c r="U28" s="780"/>
      <c r="V28" s="780"/>
      <c r="W28" s="113"/>
      <c r="X28" s="112"/>
      <c r="Y28" s="112"/>
      <c r="Z28" s="111"/>
    </row>
    <row r="29" spans="1:26" ht="17.100000000000001" customHeight="1" x14ac:dyDescent="0.2">
      <c r="A29" s="2"/>
      <c r="B29" s="272" t="s">
        <v>87</v>
      </c>
      <c r="C29" s="4"/>
      <c r="D29" s="234"/>
      <c r="E29" s="255"/>
      <c r="F29" s="509" t="s">
        <v>89</v>
      </c>
      <c r="G29" s="238"/>
      <c r="H29" s="401" t="s">
        <v>94</v>
      </c>
      <c r="J29" s="117"/>
      <c r="K29" s="117"/>
      <c r="L29" s="117"/>
      <c r="M29" s="117"/>
      <c r="N29" s="117"/>
      <c r="O29" s="117"/>
      <c r="P29" s="779"/>
      <c r="Q29" s="779"/>
      <c r="R29" s="779"/>
      <c r="S29" s="779"/>
      <c r="T29" s="780"/>
      <c r="U29" s="780"/>
      <c r="V29" s="780"/>
      <c r="W29" s="113"/>
      <c r="X29" s="112"/>
      <c r="Y29" s="112"/>
      <c r="Z29" s="111"/>
    </row>
    <row r="30" spans="1:26" ht="10.5" customHeight="1" x14ac:dyDescent="0.2">
      <c r="A30" s="2"/>
      <c r="B30" s="18"/>
      <c r="C30" s="18"/>
      <c r="D30" s="4"/>
      <c r="E30" s="255"/>
      <c r="F30" s="237" t="s">
        <v>149</v>
      </c>
      <c r="G30" s="4"/>
      <c r="H30" s="401"/>
      <c r="J30" s="117"/>
      <c r="K30" s="117"/>
      <c r="L30" s="117"/>
      <c r="M30" s="117"/>
      <c r="N30" s="117"/>
      <c r="O30" s="117"/>
      <c r="P30" s="779"/>
      <c r="Q30" s="779"/>
      <c r="R30" s="779"/>
      <c r="S30" s="779"/>
      <c r="T30" s="780"/>
      <c r="U30" s="780"/>
      <c r="V30" s="780"/>
      <c r="W30" s="113"/>
      <c r="X30" s="112"/>
      <c r="Y30" s="112"/>
      <c r="Z30" s="111"/>
    </row>
    <row r="31" spans="1:26" ht="17.100000000000001" customHeight="1" x14ac:dyDescent="0.35">
      <c r="A31" s="2"/>
      <c r="B31" s="3" t="s">
        <v>150</v>
      </c>
      <c r="C31" s="4"/>
      <c r="D31" s="235"/>
      <c r="E31" s="255"/>
      <c r="F31" s="509" t="s">
        <v>90</v>
      </c>
      <c r="G31" s="475"/>
      <c r="H31" s="401" t="s">
        <v>236</v>
      </c>
      <c r="J31" s="117"/>
      <c r="K31" s="117"/>
      <c r="L31" s="117"/>
      <c r="M31" s="117"/>
      <c r="N31" s="117"/>
      <c r="O31" s="117"/>
      <c r="P31" s="779"/>
      <c r="Q31" s="779"/>
      <c r="R31" s="779"/>
      <c r="S31" s="779"/>
      <c r="T31" s="780"/>
      <c r="U31" s="780"/>
      <c r="V31" s="780"/>
      <c r="W31" s="113"/>
      <c r="X31" s="112"/>
      <c r="Y31" s="112"/>
      <c r="Z31" s="111"/>
    </row>
    <row r="32" spans="1:26" ht="10.5" customHeight="1" x14ac:dyDescent="0.2">
      <c r="A32" s="2"/>
      <c r="B32" s="18"/>
      <c r="C32" s="18"/>
      <c r="D32" s="64"/>
      <c r="E32" s="255"/>
      <c r="F32" s="237" t="s">
        <v>149</v>
      </c>
      <c r="G32" s="65"/>
      <c r="H32" s="401"/>
      <c r="J32" s="117"/>
      <c r="K32" s="117"/>
      <c r="L32" s="117"/>
      <c r="M32" s="117" t="s">
        <v>153</v>
      </c>
      <c r="N32" s="117"/>
      <c r="O32" s="117"/>
      <c r="P32" s="779"/>
      <c r="Q32" s="779"/>
      <c r="R32" s="779"/>
      <c r="S32" s="779"/>
      <c r="T32" s="780"/>
      <c r="U32" s="780"/>
      <c r="V32" s="780"/>
      <c r="W32" s="113"/>
      <c r="X32" s="112"/>
      <c r="Y32" s="112"/>
      <c r="Z32" s="111"/>
    </row>
    <row r="33" spans="1:26" ht="17.100000000000001" customHeight="1" x14ac:dyDescent="0.3">
      <c r="A33" s="2"/>
      <c r="B33" s="3" t="s">
        <v>238</v>
      </c>
      <c r="C33" s="4"/>
      <c r="D33" s="238"/>
      <c r="E33" s="255"/>
      <c r="F33" s="509" t="s">
        <v>91</v>
      </c>
      <c r="G33" s="236"/>
      <c r="H33" s="401" t="s">
        <v>237</v>
      </c>
      <c r="J33" s="117"/>
      <c r="K33" s="239" t="s">
        <v>152</v>
      </c>
      <c r="L33" s="340">
        <f>10*(1+3*D31)</f>
        <v>10</v>
      </c>
      <c r="M33" s="341" t="str">
        <f>IF(AND(D33&gt;0,D33&lt;=L33,G37&gt;0),"ja",IF(OR(D33&gt;L33,G37=0),"nein",""))</f>
        <v>nein</v>
      </c>
      <c r="N33" s="117"/>
      <c r="O33" s="117"/>
      <c r="P33" s="779"/>
      <c r="Q33" s="779"/>
      <c r="R33" s="779"/>
      <c r="S33" s="779"/>
      <c r="T33" s="780"/>
      <c r="U33" s="780"/>
      <c r="V33" s="780"/>
      <c r="W33" s="113"/>
      <c r="X33" s="112"/>
      <c r="Y33" s="112"/>
      <c r="Z33" s="111"/>
    </row>
    <row r="34" spans="1:26" ht="4.5" customHeight="1" x14ac:dyDescent="0.2">
      <c r="A34" s="2"/>
      <c r="B34" s="3"/>
      <c r="C34" s="4"/>
      <c r="D34" s="946"/>
      <c r="E34" s="861"/>
      <c r="F34" s="58"/>
      <c r="G34" s="947"/>
      <c r="H34" s="401"/>
      <c r="J34" s="117"/>
      <c r="K34" s="239"/>
      <c r="L34" s="340"/>
      <c r="M34" s="341"/>
      <c r="N34" s="117"/>
      <c r="O34" s="117"/>
      <c r="P34" s="779"/>
      <c r="Q34" s="779"/>
      <c r="R34" s="779"/>
      <c r="S34" s="779"/>
      <c r="T34" s="780"/>
      <c r="U34" s="780"/>
      <c r="V34" s="780"/>
      <c r="W34" s="113"/>
      <c r="X34" s="112"/>
      <c r="Y34" s="112"/>
      <c r="Z34" s="111"/>
    </row>
    <row r="35" spans="1:26" ht="23.25" customHeight="1" x14ac:dyDescent="0.3">
      <c r="A35" s="2"/>
      <c r="B35" s="1042" t="s">
        <v>401</v>
      </c>
      <c r="C35" s="1009"/>
      <c r="D35" s="862"/>
      <c r="E35" s="255" t="s">
        <v>402</v>
      </c>
      <c r="F35" s="839"/>
      <c r="G35" s="4"/>
      <c r="H35" s="401"/>
      <c r="J35" s="117"/>
      <c r="K35" s="239" t="s">
        <v>252</v>
      </c>
      <c r="L35" s="871">
        <f>16*(1+3*D31)</f>
        <v>16</v>
      </c>
      <c r="M35" s="117">
        <v>54.4</v>
      </c>
      <c r="N35" s="117">
        <f>IF(L35&lt;M35,L35,M35)</f>
        <v>16</v>
      </c>
      <c r="O35" s="117"/>
      <c r="P35" s="779"/>
      <c r="Q35" s="779"/>
      <c r="R35" s="779"/>
      <c r="S35" s="779"/>
      <c r="T35" s="780"/>
      <c r="U35" s="780"/>
      <c r="V35" s="780"/>
      <c r="W35" s="113"/>
      <c r="X35" s="112"/>
      <c r="Y35" s="112"/>
      <c r="Z35" s="111"/>
    </row>
    <row r="36" spans="1:26" ht="4.5" customHeight="1" x14ac:dyDescent="0.2">
      <c r="A36" s="2"/>
      <c r="B36" s="856"/>
      <c r="C36" s="856"/>
      <c r="D36" s="860"/>
      <c r="E36" s="255"/>
      <c r="F36" s="839"/>
      <c r="G36" s="4"/>
      <c r="H36" s="401"/>
      <c r="J36" s="117"/>
      <c r="K36" s="239"/>
      <c r="L36" s="476"/>
      <c r="M36" s="117"/>
      <c r="N36" s="117"/>
      <c r="O36" s="117"/>
      <c r="P36" s="779"/>
      <c r="Q36" s="779"/>
      <c r="R36" s="779"/>
      <c r="S36" s="779"/>
      <c r="T36" s="780"/>
      <c r="U36" s="780"/>
      <c r="V36" s="780"/>
      <c r="W36" s="113"/>
      <c r="X36" s="112"/>
      <c r="Y36" s="112"/>
      <c r="Z36" s="111"/>
    </row>
    <row r="37" spans="1:26" ht="17.100000000000001" customHeight="1" x14ac:dyDescent="0.2">
      <c r="A37" s="2"/>
      <c r="B37" s="272" t="s">
        <v>145</v>
      </c>
      <c r="C37" s="509"/>
      <c r="D37" s="238"/>
      <c r="E37" s="255"/>
      <c r="F37" s="509" t="s">
        <v>147</v>
      </c>
      <c r="G37" s="238"/>
      <c r="H37" s="401" t="s">
        <v>239</v>
      </c>
      <c r="J37" s="117"/>
      <c r="K37" s="240" t="s">
        <v>156</v>
      </c>
      <c r="L37" s="117"/>
      <c r="M37" s="117"/>
      <c r="N37" s="117"/>
      <c r="O37" s="117"/>
      <c r="P37" s="779"/>
      <c r="Q37" s="779"/>
      <c r="R37" s="779"/>
      <c r="S37" s="779"/>
      <c r="T37" s="780"/>
      <c r="U37" s="780"/>
      <c r="V37" s="780"/>
      <c r="W37" s="113"/>
      <c r="X37" s="112"/>
      <c r="Y37" s="112"/>
      <c r="Z37" s="111"/>
    </row>
    <row r="38" spans="1:26" ht="9" customHeight="1" x14ac:dyDescent="0.2">
      <c r="A38" s="9"/>
      <c r="B38" s="18" t="s">
        <v>459</v>
      </c>
      <c r="C38" s="4"/>
      <c r="D38" s="506"/>
      <c r="E38" s="4"/>
      <c r="F38" s="237"/>
      <c r="G38" s="502"/>
      <c r="H38" s="505"/>
      <c r="J38" s="119"/>
      <c r="K38" s="119"/>
      <c r="L38" s="119"/>
      <c r="M38" s="119"/>
      <c r="N38" s="119"/>
      <c r="O38" s="119"/>
      <c r="P38" s="779"/>
      <c r="Q38" s="779"/>
      <c r="R38" s="779"/>
      <c r="S38" s="779"/>
      <c r="T38" s="780"/>
      <c r="U38" s="780"/>
      <c r="V38" s="780"/>
      <c r="W38" s="113"/>
      <c r="X38" s="112"/>
      <c r="Y38" s="112"/>
      <c r="Z38" s="111"/>
    </row>
    <row r="39" spans="1:26" ht="19.5" customHeight="1" x14ac:dyDescent="0.2">
      <c r="A39" s="15">
        <v>3</v>
      </c>
      <c r="B39" s="1026" t="s">
        <v>255</v>
      </c>
      <c r="C39" s="1027"/>
      <c r="D39" s="1027"/>
      <c r="E39" s="1027"/>
      <c r="F39" s="1027"/>
      <c r="G39" s="1027"/>
      <c r="H39" s="1028"/>
      <c r="J39" s="119"/>
      <c r="K39" s="119"/>
      <c r="L39" s="119"/>
      <c r="M39" s="119"/>
      <c r="N39" s="119"/>
      <c r="O39" s="119"/>
      <c r="P39" s="779"/>
      <c r="Q39" s="779"/>
      <c r="R39" s="779"/>
      <c r="S39" s="779"/>
      <c r="T39" s="780"/>
      <c r="U39" s="780"/>
      <c r="V39" s="780"/>
      <c r="W39" s="113"/>
      <c r="X39" s="112"/>
      <c r="Y39" s="112"/>
      <c r="Z39" s="111"/>
    </row>
    <row r="40" spans="1:26" ht="17.100000000000001" customHeight="1" x14ac:dyDescent="0.2">
      <c r="A40" s="2"/>
      <c r="B40" s="8"/>
      <c r="C40" s="17"/>
      <c r="D40" s="4"/>
      <c r="E40" s="4"/>
      <c r="F40" s="4"/>
      <c r="G40" s="4"/>
      <c r="H40" s="5"/>
      <c r="J40" s="195"/>
      <c r="K40" s="197" t="b">
        <v>0</v>
      </c>
      <c r="L40" s="197"/>
      <c r="M40" s="197"/>
      <c r="N40" s="197"/>
      <c r="O40" s="197"/>
      <c r="P40" s="781"/>
      <c r="Q40" s="779"/>
      <c r="R40" s="779"/>
      <c r="S40" s="779"/>
      <c r="T40" s="780"/>
      <c r="U40" s="780"/>
      <c r="V40" s="780"/>
      <c r="W40" s="113"/>
      <c r="X40" s="112"/>
      <c r="Y40" s="112"/>
      <c r="Z40" s="111"/>
    </row>
    <row r="41" spans="1:26" ht="17.100000000000001" customHeight="1" x14ac:dyDescent="0.2">
      <c r="A41" s="2"/>
      <c r="B41" s="8"/>
      <c r="C41" s="17"/>
      <c r="D41" s="4"/>
      <c r="E41" s="4"/>
      <c r="F41" s="4"/>
      <c r="G41" s="4"/>
      <c r="H41" s="5"/>
      <c r="J41" s="203" t="s">
        <v>76</v>
      </c>
      <c r="K41" s="119" t="b">
        <v>0</v>
      </c>
      <c r="L41" s="119" t="b">
        <v>0</v>
      </c>
      <c r="M41" s="119" t="b">
        <v>0</v>
      </c>
      <c r="N41" s="119" t="b">
        <v>0</v>
      </c>
      <c r="O41" s="119"/>
      <c r="P41" s="782"/>
      <c r="Q41" s="779"/>
      <c r="R41" s="779"/>
      <c r="S41" s="779"/>
      <c r="T41" s="780"/>
      <c r="U41" s="780"/>
      <c r="V41" s="780"/>
      <c r="W41" s="113"/>
      <c r="X41" s="112"/>
      <c r="Y41" s="112"/>
      <c r="Z41" s="111"/>
    </row>
    <row r="42" spans="1:26" ht="17.100000000000001" customHeight="1" x14ac:dyDescent="0.2">
      <c r="A42" s="2"/>
      <c r="B42" s="8"/>
      <c r="C42" s="17"/>
      <c r="D42" s="4"/>
      <c r="E42" s="4"/>
      <c r="F42" s="495" t="str">
        <f>IF(K58=TRUE,"Dimensionierung der Anlage ist beizulegen","")</f>
        <v/>
      </c>
      <c r="G42" s="4"/>
      <c r="H42" s="5"/>
      <c r="J42" s="203"/>
      <c r="N42" s="119"/>
      <c r="O42" s="119"/>
      <c r="P42" s="782"/>
      <c r="Q42" s="779"/>
      <c r="R42" s="779"/>
      <c r="S42" s="779"/>
      <c r="T42" s="780"/>
      <c r="U42" s="780"/>
      <c r="V42" s="780"/>
      <c r="W42" s="113"/>
      <c r="Z42" s="111"/>
    </row>
    <row r="43" spans="1:26" ht="7.5" customHeight="1" x14ac:dyDescent="0.2">
      <c r="A43" s="2"/>
      <c r="B43" s="8"/>
      <c r="C43" s="17"/>
      <c r="D43" s="4"/>
      <c r="E43" s="66"/>
      <c r="F43" s="66"/>
      <c r="G43" s="4"/>
      <c r="H43" s="5"/>
      <c r="J43" s="205"/>
      <c r="K43" s="119"/>
      <c r="L43" s="119"/>
      <c r="M43" s="119"/>
      <c r="N43" s="119"/>
      <c r="O43" s="119"/>
      <c r="P43" s="782"/>
      <c r="Q43" s="779"/>
      <c r="R43" s="779"/>
      <c r="S43" s="779"/>
      <c r="T43" s="780"/>
      <c r="U43" s="780"/>
      <c r="V43" s="780"/>
      <c r="W43" s="113"/>
      <c r="X43" s="112"/>
      <c r="Y43" s="112"/>
      <c r="Z43" s="111"/>
    </row>
    <row r="44" spans="1:26" ht="17.100000000000001" customHeight="1" x14ac:dyDescent="0.2">
      <c r="A44" s="2"/>
      <c r="B44" s="8"/>
      <c r="C44" s="17"/>
      <c r="D44" s="4"/>
      <c r="E44" s="4"/>
      <c r="F44" s="4"/>
      <c r="G44" s="57" t="str">
        <f>IF(AND(D33&lt;=25,OR(K45,L45,M45,N45=TRUE),G45&gt;=2,G45&lt;3),"JAZ ausreichend",IF(AND(G45&lt;3,G45&gt;0,OR(K45,L45,M45,N45)=TRUE),"JAZ zu gering",IF(AND(G45&gt;=3,OR(K45,L45,M45,N45)=TRUE),"JAZ ausreichend",IF(OR(K45,L45,M45,N45),"bitte JAZ angeben!"," "))))</f>
        <v xml:space="preserve"> </v>
      </c>
      <c r="H44" s="5"/>
      <c r="K44" s="122" t="s">
        <v>257</v>
      </c>
      <c r="L44" s="122" t="str">
        <f>IF(AND(D33&gt;0,D33&lt;=25,OR(K45,L45,M45,N45=TRUE),G45&gt;=2,G45&lt;3),1,IF(AND(G45&lt;3,G45&gt;0,OR(K45,L45,M45,N45)=TRUE),0,IF(AND(G45&gt;=3,OR(K45,L45,M45,N45)=TRUE),1," ")))</f>
        <v xml:space="preserve"> </v>
      </c>
      <c r="O44" s="119"/>
      <c r="P44" s="782"/>
      <c r="Q44" s="779"/>
      <c r="R44" s="779"/>
      <c r="S44" s="779"/>
      <c r="T44" s="780"/>
      <c r="U44" s="780"/>
      <c r="V44" s="780"/>
      <c r="W44" s="113"/>
      <c r="X44" s="112"/>
      <c r="Y44" s="112"/>
      <c r="Z44" s="111"/>
    </row>
    <row r="45" spans="1:26" ht="17.100000000000001" customHeight="1" x14ac:dyDescent="0.2">
      <c r="A45" s="2"/>
      <c r="B45" s="8"/>
      <c r="C45" s="17"/>
      <c r="D45" s="4"/>
      <c r="E45" s="4"/>
      <c r="F45" s="510" t="s">
        <v>27</v>
      </c>
      <c r="G45" s="89"/>
      <c r="H45" s="5"/>
      <c r="J45" s="203" t="s">
        <v>77</v>
      </c>
      <c r="K45" s="119" t="b">
        <v>0</v>
      </c>
      <c r="L45" s="119" t="b">
        <v>0</v>
      </c>
      <c r="M45" s="119" t="b">
        <v>0</v>
      </c>
      <c r="N45" s="119" t="b">
        <v>0</v>
      </c>
      <c r="O45" s="119"/>
      <c r="P45" s="782"/>
      <c r="Q45" s="779"/>
      <c r="R45" s="779"/>
      <c r="S45" s="779"/>
      <c r="T45" s="780"/>
      <c r="U45" s="780"/>
      <c r="V45" s="780"/>
      <c r="W45" s="113"/>
      <c r="X45" s="112"/>
      <c r="Y45" s="112"/>
      <c r="Z45" s="111"/>
    </row>
    <row r="46" spans="1:26" ht="7.5" customHeight="1" x14ac:dyDescent="0.2">
      <c r="A46" s="2"/>
      <c r="B46" s="8"/>
      <c r="C46" s="17"/>
      <c r="D46" s="4"/>
      <c r="E46" s="4"/>
      <c r="F46" s="4"/>
      <c r="G46" s="4"/>
      <c r="H46" s="5"/>
      <c r="J46" s="205"/>
      <c r="K46" s="119"/>
      <c r="L46" s="119"/>
      <c r="M46" s="119"/>
      <c r="N46" s="119"/>
      <c r="O46" s="119"/>
      <c r="P46" s="782"/>
      <c r="Q46" s="779"/>
      <c r="R46" s="779"/>
      <c r="S46" s="779"/>
      <c r="T46" s="780"/>
      <c r="U46" s="780"/>
      <c r="V46" s="780"/>
      <c r="W46" s="113"/>
      <c r="X46" s="112"/>
      <c r="Y46" s="112"/>
      <c r="Z46" s="111"/>
    </row>
    <row r="47" spans="1:26" ht="17.100000000000001" customHeight="1" x14ac:dyDescent="0.2">
      <c r="A47" s="2"/>
      <c r="B47" s="8"/>
      <c r="C47" s="17"/>
      <c r="D47" s="4"/>
      <c r="E47" s="4"/>
      <c r="F47" s="4"/>
      <c r="G47" s="4"/>
      <c r="H47" s="5"/>
      <c r="J47" s="205"/>
      <c r="K47" s="119"/>
      <c r="L47" s="119"/>
      <c r="M47" s="119"/>
      <c r="N47" s="119"/>
      <c r="O47" s="119"/>
      <c r="P47" s="782"/>
      <c r="Q47" s="779"/>
      <c r="R47" s="779"/>
      <c r="S47" s="779"/>
      <c r="T47" s="780"/>
      <c r="U47" s="780"/>
      <c r="V47" s="780"/>
      <c r="W47" s="113"/>
      <c r="X47" s="112"/>
      <c r="Y47" s="112"/>
      <c r="Z47" s="111"/>
    </row>
    <row r="48" spans="1:26" ht="17.100000000000001" customHeight="1" x14ac:dyDescent="0.2">
      <c r="A48" s="2"/>
      <c r="B48" s="8"/>
      <c r="C48" s="17"/>
      <c r="D48" s="4"/>
      <c r="E48" s="4"/>
      <c r="F48" s="4"/>
      <c r="G48" s="4"/>
      <c r="H48" s="5"/>
      <c r="J48" s="203" t="s">
        <v>79</v>
      </c>
      <c r="K48" s="119" t="b">
        <v>0</v>
      </c>
      <c r="L48" s="119" t="b">
        <v>0</v>
      </c>
      <c r="M48" s="119"/>
      <c r="N48" s="119"/>
      <c r="O48" s="119"/>
      <c r="P48" s="782"/>
      <c r="Q48" s="779"/>
      <c r="R48" s="779"/>
      <c r="S48" s="779"/>
      <c r="T48" s="780"/>
      <c r="U48" s="780"/>
      <c r="V48" s="780"/>
      <c r="W48" s="113"/>
      <c r="X48" s="112"/>
      <c r="Y48" s="112"/>
      <c r="Z48" s="111"/>
    </row>
    <row r="49" spans="1:26" ht="7.5" customHeight="1" x14ac:dyDescent="0.2">
      <c r="A49" s="2"/>
      <c r="B49" s="8"/>
      <c r="C49" s="17"/>
      <c r="D49" s="4"/>
      <c r="E49" s="4"/>
      <c r="F49" s="4"/>
      <c r="G49" s="4"/>
      <c r="H49" s="5"/>
      <c r="J49" s="205"/>
      <c r="K49" s="119"/>
      <c r="L49" s="119"/>
      <c r="M49" s="119"/>
      <c r="N49" s="119"/>
      <c r="O49" s="119"/>
      <c r="P49" s="782"/>
      <c r="Q49" s="779"/>
      <c r="R49" s="779"/>
      <c r="S49" s="779"/>
      <c r="T49" s="780"/>
      <c r="U49" s="780"/>
      <c r="V49" s="780"/>
      <c r="W49" s="113"/>
      <c r="X49" s="112"/>
      <c r="Y49" s="112"/>
      <c r="Z49" s="111"/>
    </row>
    <row r="50" spans="1:26" ht="17.100000000000001" customHeight="1" x14ac:dyDescent="0.2">
      <c r="A50" s="2"/>
      <c r="B50" s="3"/>
      <c r="C50" s="4"/>
      <c r="D50" s="4"/>
      <c r="E50" s="4"/>
      <c r="F50" s="4"/>
      <c r="G50" s="4"/>
      <c r="H50" s="5"/>
      <c r="J50" s="203" t="s">
        <v>86</v>
      </c>
      <c r="K50" s="119" t="b">
        <v>0</v>
      </c>
      <c r="L50" s="119" t="b">
        <v>0</v>
      </c>
      <c r="M50" s="119" t="b">
        <v>0</v>
      </c>
      <c r="N50" s="119"/>
      <c r="O50" s="119"/>
      <c r="P50" s="782"/>
      <c r="Q50" s="779"/>
      <c r="R50" s="779"/>
      <c r="S50" s="779"/>
      <c r="T50" s="780"/>
      <c r="U50" s="780"/>
      <c r="V50" s="780"/>
      <c r="W50" s="113"/>
      <c r="X50" s="112"/>
      <c r="Y50" s="112"/>
      <c r="Z50" s="111"/>
    </row>
    <row r="51" spans="1:26" ht="17.100000000000001" customHeight="1" x14ac:dyDescent="0.2">
      <c r="A51" s="2"/>
      <c r="B51" s="3"/>
      <c r="C51" s="4"/>
      <c r="D51" s="4"/>
      <c r="E51" s="4"/>
      <c r="F51" s="510"/>
      <c r="G51" s="4"/>
      <c r="H51" s="5"/>
      <c r="J51" s="205"/>
      <c r="K51" s="119"/>
      <c r="L51" s="119"/>
      <c r="M51" s="119"/>
      <c r="N51" s="119"/>
      <c r="O51" s="119"/>
      <c r="P51" s="782"/>
      <c r="Q51" s="779"/>
      <c r="R51" s="779"/>
      <c r="S51" s="779"/>
      <c r="T51" s="780"/>
      <c r="U51" s="780"/>
      <c r="V51" s="780"/>
      <c r="W51" s="113"/>
      <c r="X51" s="112"/>
      <c r="Y51" s="112"/>
      <c r="Z51" s="111"/>
    </row>
    <row r="52" spans="1:26" ht="7.5" customHeight="1" x14ac:dyDescent="0.2">
      <c r="A52" s="2"/>
      <c r="B52" s="3"/>
      <c r="C52" s="4"/>
      <c r="D52" s="4"/>
      <c r="E52" s="4"/>
      <c r="F52" s="510"/>
      <c r="G52" s="4"/>
      <c r="H52" s="5"/>
      <c r="J52" s="205"/>
      <c r="K52" s="119"/>
      <c r="L52" s="119"/>
      <c r="M52" s="119"/>
      <c r="N52" s="119"/>
      <c r="O52" s="119"/>
      <c r="P52" s="782"/>
      <c r="Q52" s="779"/>
      <c r="R52" s="779"/>
      <c r="S52" s="779"/>
      <c r="T52" s="780"/>
      <c r="U52" s="780"/>
      <c r="V52" s="780"/>
      <c r="W52" s="113"/>
      <c r="X52" s="112"/>
      <c r="Y52" s="112"/>
      <c r="Z52" s="111"/>
    </row>
    <row r="53" spans="1:26" ht="17.100000000000001" customHeight="1" x14ac:dyDescent="0.2">
      <c r="A53" s="2"/>
      <c r="B53" s="3"/>
      <c r="C53" s="4"/>
      <c r="D53" s="4"/>
      <c r="E53" s="4"/>
      <c r="F53" s="510"/>
      <c r="G53" s="4"/>
      <c r="H53" s="5"/>
      <c r="J53" s="205"/>
      <c r="K53" s="119" t="b">
        <v>0</v>
      </c>
      <c r="L53" s="119"/>
      <c r="M53" s="119"/>
      <c r="N53" s="119"/>
      <c r="O53" s="119"/>
      <c r="P53" s="782"/>
      <c r="Q53" s="779"/>
      <c r="R53" s="779"/>
      <c r="S53" s="779"/>
      <c r="T53" s="780"/>
      <c r="U53" s="780"/>
      <c r="V53" s="780"/>
      <c r="W53" s="113"/>
      <c r="X53" s="112"/>
      <c r="Y53" s="112"/>
      <c r="Z53" s="111"/>
    </row>
    <row r="54" spans="1:26" ht="17.100000000000001" customHeight="1" x14ac:dyDescent="0.2">
      <c r="A54" s="2"/>
      <c r="B54" s="3"/>
      <c r="C54" s="4"/>
      <c r="D54" s="4"/>
      <c r="E54" s="4"/>
      <c r="F54" s="510"/>
      <c r="G54" s="4"/>
      <c r="H54" s="5"/>
      <c r="J54" s="205" t="s">
        <v>28</v>
      </c>
      <c r="K54" s="119" t="b">
        <v>0</v>
      </c>
      <c r="L54" s="119" t="b">
        <v>0</v>
      </c>
      <c r="M54" s="119" t="b">
        <v>0</v>
      </c>
      <c r="N54" s="119" t="b">
        <v>0</v>
      </c>
      <c r="O54" s="119" t="b">
        <v>0</v>
      </c>
      <c r="P54" s="782"/>
      <c r="Q54" s="779"/>
      <c r="R54" s="779"/>
      <c r="S54" s="779"/>
      <c r="T54" s="780"/>
      <c r="U54" s="780"/>
      <c r="V54" s="780"/>
      <c r="W54" s="113"/>
      <c r="X54" s="112"/>
      <c r="Y54" s="112"/>
      <c r="Z54" s="111"/>
    </row>
    <row r="55" spans="1:26" ht="17.100000000000001" customHeight="1" x14ac:dyDescent="0.2">
      <c r="A55" s="2"/>
      <c r="B55" s="3"/>
      <c r="C55" s="4"/>
      <c r="D55" s="4"/>
      <c r="E55" s="4"/>
      <c r="F55" s="510"/>
      <c r="G55" s="1029"/>
      <c r="H55" s="1030"/>
      <c r="J55" s="205"/>
      <c r="K55" s="119" t="b">
        <v>0</v>
      </c>
      <c r="L55" s="119"/>
      <c r="M55" s="119"/>
      <c r="N55" s="119"/>
      <c r="O55" s="119"/>
      <c r="P55" s="782"/>
      <c r="Q55" s="779"/>
      <c r="R55" s="779"/>
      <c r="S55" s="779"/>
      <c r="T55" s="780"/>
      <c r="U55" s="780"/>
      <c r="V55" s="780"/>
      <c r="W55" s="113"/>
      <c r="X55" s="112"/>
      <c r="Y55" s="112"/>
      <c r="Z55" s="111"/>
    </row>
    <row r="56" spans="1:26" ht="4.5" customHeight="1" x14ac:dyDescent="0.2">
      <c r="A56" s="2"/>
      <c r="B56" s="3"/>
      <c r="C56" s="4"/>
      <c r="D56" s="4"/>
      <c r="E56" s="4"/>
      <c r="F56" s="510"/>
      <c r="G56" s="823"/>
      <c r="H56" s="824"/>
      <c r="J56" s="205"/>
      <c r="K56" s="119"/>
      <c r="L56" s="119"/>
      <c r="M56" s="119"/>
      <c r="N56" s="119"/>
      <c r="O56" s="119"/>
      <c r="P56" s="782"/>
      <c r="Q56" s="779"/>
      <c r="R56" s="779"/>
      <c r="S56" s="779"/>
      <c r="T56" s="780"/>
      <c r="U56" s="780"/>
      <c r="V56" s="780"/>
      <c r="W56" s="113"/>
      <c r="X56" s="112"/>
      <c r="Y56" s="112"/>
      <c r="Z56" s="111"/>
    </row>
    <row r="57" spans="1:26" ht="17.100000000000001" customHeight="1" x14ac:dyDescent="0.25">
      <c r="A57" s="2"/>
      <c r="B57" s="268" t="s">
        <v>258</v>
      </c>
      <c r="C57" s="4"/>
      <c r="D57" s="4"/>
      <c r="E57" s="4"/>
      <c r="F57" s="816"/>
      <c r="G57" s="13"/>
      <c r="H57" s="817"/>
      <c r="J57" s="205" t="s">
        <v>495</v>
      </c>
      <c r="K57" s="119" t="b">
        <v>0</v>
      </c>
      <c r="L57" s="119"/>
      <c r="M57" s="119"/>
      <c r="N57" s="119"/>
      <c r="O57" s="119"/>
      <c r="P57" s="782"/>
      <c r="Q57" s="779"/>
      <c r="R57" s="779"/>
      <c r="S57" s="779"/>
      <c r="T57" s="780"/>
      <c r="U57" s="780"/>
      <c r="V57" s="780"/>
      <c r="W57" s="113"/>
      <c r="X57" s="112"/>
      <c r="Y57" s="112"/>
      <c r="Z57" s="111"/>
    </row>
    <row r="58" spans="1:26" ht="17.100000000000001" customHeight="1" x14ac:dyDescent="0.2">
      <c r="A58" s="2"/>
      <c r="B58" s="3"/>
      <c r="C58" s="4"/>
      <c r="D58" s="4"/>
      <c r="E58" s="4"/>
      <c r="F58" s="816"/>
      <c r="G58" s="13"/>
      <c r="H58" s="817"/>
      <c r="J58" s="205" t="s">
        <v>29</v>
      </c>
      <c r="K58" s="119" t="b">
        <v>0</v>
      </c>
      <c r="L58" s="119" t="b">
        <v>0</v>
      </c>
      <c r="M58" s="119" t="b">
        <v>0</v>
      </c>
      <c r="N58" s="119"/>
      <c r="O58" s="119"/>
      <c r="P58" s="782"/>
      <c r="Q58" s="779"/>
      <c r="R58" s="779"/>
      <c r="S58" s="779"/>
      <c r="T58" s="780"/>
      <c r="U58" s="780"/>
      <c r="V58" s="780"/>
      <c r="W58" s="113"/>
      <c r="X58" s="112"/>
      <c r="Y58" s="112"/>
      <c r="Z58" s="111"/>
    </row>
    <row r="59" spans="1:26" ht="6" customHeight="1" x14ac:dyDescent="0.2">
      <c r="A59" s="2"/>
      <c r="B59" s="3"/>
      <c r="C59" s="1031"/>
      <c r="D59" s="1031"/>
      <c r="E59" s="4"/>
      <c r="G59" s="852"/>
      <c r="H59" s="864"/>
      <c r="I59" s="129"/>
      <c r="J59" s="203" t="s">
        <v>78</v>
      </c>
      <c r="K59" s="119" t="b">
        <v>0</v>
      </c>
      <c r="L59" s="853">
        <f>16.4*D29*0.1</f>
        <v>0</v>
      </c>
      <c r="M59" s="853">
        <f>E62</f>
        <v>0</v>
      </c>
      <c r="N59" s="512">
        <f>IF(L59&gt;=M59,0,1)</f>
        <v>0</v>
      </c>
      <c r="O59" s="119"/>
      <c r="P59" s="782"/>
      <c r="Q59" s="779"/>
      <c r="R59" s="779"/>
      <c r="S59" s="779"/>
      <c r="T59" s="780"/>
      <c r="U59" s="780"/>
      <c r="V59" s="780"/>
      <c r="W59" s="113"/>
      <c r="X59" s="112"/>
      <c r="Y59" s="112"/>
      <c r="Z59" s="111"/>
    </row>
    <row r="60" spans="1:26" ht="15" customHeight="1" x14ac:dyDescent="0.2">
      <c r="A60" s="2"/>
      <c r="B60" s="3"/>
      <c r="C60" s="847"/>
      <c r="D60" s="855" t="str">
        <f>IF(OR(K58,L58,M58=TRUE),"Ertrag Solaranlage lt. Energieausweis:","")</f>
        <v/>
      </c>
      <c r="E60" s="913"/>
      <c r="F60" s="852"/>
      <c r="G60" s="48"/>
      <c r="H60" s="92"/>
      <c r="I60" s="129"/>
      <c r="J60" s="203"/>
      <c r="K60" s="119"/>
      <c r="L60" s="854" t="s">
        <v>399</v>
      </c>
      <c r="M60" s="854" t="s">
        <v>400</v>
      </c>
      <c r="N60" s="119"/>
      <c r="O60" s="119"/>
      <c r="P60" s="782"/>
      <c r="Q60" s="779"/>
      <c r="R60" s="779"/>
      <c r="S60" s="779"/>
      <c r="T60" s="780"/>
      <c r="U60" s="780"/>
      <c r="V60" s="780"/>
      <c r="W60" s="113"/>
      <c r="X60" s="112"/>
      <c r="Y60" s="112"/>
      <c r="Z60" s="111"/>
    </row>
    <row r="61" spans="1:26" ht="15" customHeight="1" x14ac:dyDescent="0.2">
      <c r="A61" s="2"/>
      <c r="B61" s="850"/>
      <c r="D61" s="846" t="str">
        <f>IF(OR(K58,L58,M58)=TRUE,"oder geplante Aperturfläche Solaranlage:","")</f>
        <v/>
      </c>
      <c r="E61" s="90"/>
      <c r="F61" s="188"/>
      <c r="G61" s="818" t="str">
        <f>IF(OR(L58,M58=TRUE),"Vorschlag Größe Solaranlage:","")</f>
        <v/>
      </c>
      <c r="H61" s="819" t="str">
        <f>IF(OR(L58,M58=TRUE),O62,"")</f>
        <v/>
      </c>
      <c r="I61" s="467"/>
      <c r="J61" s="484">
        <f>D29</f>
        <v>0</v>
      </c>
      <c r="K61" s="468"/>
      <c r="L61" s="469" t="s">
        <v>243</v>
      </c>
      <c r="M61" s="469"/>
      <c r="N61" s="198"/>
      <c r="O61" s="119"/>
      <c r="P61" s="782"/>
      <c r="Q61" s="779"/>
      <c r="R61" s="779"/>
      <c r="S61" s="779"/>
      <c r="T61" s="780"/>
      <c r="U61" s="780"/>
      <c r="V61" s="780"/>
      <c r="W61" s="113"/>
      <c r="X61" s="112"/>
      <c r="Y61" s="112"/>
      <c r="Z61" s="111"/>
    </row>
    <row r="62" spans="1:26" ht="15" customHeight="1" x14ac:dyDescent="0.2">
      <c r="A62" s="2"/>
      <c r="B62" s="493"/>
      <c r="D62" s="851" t="str">
        <f>IF(K59=TRUE,"Netto Ertrag PV (lt. Energieausweis):","")</f>
        <v/>
      </c>
      <c r="E62" s="874"/>
      <c r="F62" s="93"/>
      <c r="H62" s="870" t="str">
        <f>IF(AND(K59=TRUE,M59=0),"Geben Sie bitte den Netto Ertrag der Photovoltaikanlage an!",IF(AND(K59=TRUE,M59&gt;=L59,L59&gt;0,OR(L59,M59&gt;0)),"PV-Anlage erfüllt Anforderung an den erneuerbaren Anteil",IF(AND(K59=TRUE,M59&lt;L59),"PV-Anlage erfüllt NICHT Anforderung an den erneuerbaren Anteil!","")))</f>
        <v/>
      </c>
      <c r="I62" s="130"/>
      <c r="J62" s="848">
        <f>IF(D29&lt;400,D29/120*4,D29/75*2.5)</f>
        <v>0</v>
      </c>
      <c r="K62" s="485">
        <f>IF(J61&lt;150,J61/40*1.5,IF(J61&lt;400,J61/35*1.5,IF(J61&lt;1000,J61/30*1.5,IF(J61&gt;1000,J61/25*1.5))))</f>
        <v>0</v>
      </c>
      <c r="L62" s="470">
        <f>IF(E61&gt;=H61,1,0)</f>
        <v>1</v>
      </c>
      <c r="M62" s="471"/>
      <c r="N62" s="202"/>
      <c r="O62" s="849">
        <f>ROUND(J62,0)</f>
        <v>0</v>
      </c>
      <c r="P62" s="782"/>
      <c r="Q62" s="779"/>
      <c r="R62" s="779"/>
      <c r="S62" s="779"/>
      <c r="T62" s="780"/>
      <c r="U62" s="780"/>
      <c r="V62" s="780"/>
      <c r="W62" s="113"/>
      <c r="X62" s="112"/>
      <c r="Y62" s="112"/>
      <c r="Z62" s="111"/>
    </row>
    <row r="63" spans="1:26" ht="15" customHeight="1" x14ac:dyDescent="0.2">
      <c r="A63" s="2"/>
      <c r="B63" s="493"/>
      <c r="C63" s="500" t="str">
        <f>IF(AND(OR(L58,M58=TRUE),E61&gt;0,H61&gt;E61),"",IF(AND(OR(L58,M58=TRUE),E60=0,E61=0),"Geben Sie bitte den Nettowärmeertrag der Solaranlage (lt. EA-Berechnung) oder die geplante Größe der Solaranlage ein!",""))</f>
        <v/>
      </c>
      <c r="D63" s="846"/>
      <c r="F63" s="93"/>
      <c r="G63" s="820"/>
      <c r="H63" s="821"/>
      <c r="I63" s="130"/>
      <c r="J63" s="122" t="s">
        <v>78</v>
      </c>
      <c r="K63" s="485"/>
      <c r="L63" s="470"/>
      <c r="M63" s="471"/>
      <c r="N63" s="201"/>
      <c r="O63" s="119"/>
      <c r="P63" s="782"/>
      <c r="Q63" s="779"/>
      <c r="R63" s="779"/>
      <c r="S63" s="779"/>
      <c r="T63" s="780"/>
      <c r="U63" s="780"/>
      <c r="V63" s="780"/>
      <c r="W63" s="113"/>
      <c r="X63" s="112"/>
      <c r="Y63" s="112"/>
      <c r="Z63" s="111"/>
    </row>
    <row r="64" spans="1:26" ht="5.25" customHeight="1" x14ac:dyDescent="0.2">
      <c r="A64" s="2"/>
      <c r="B64" s="3"/>
      <c r="C64" s="265"/>
      <c r="D64" s="496"/>
      <c r="E64" s="272"/>
      <c r="F64" s="822"/>
      <c r="G64" s="1062"/>
      <c r="H64" s="1063"/>
      <c r="I64" s="130"/>
      <c r="K64" s="201"/>
      <c r="L64" s="201"/>
      <c r="M64" s="201"/>
      <c r="N64" s="201"/>
      <c r="O64" s="201"/>
      <c r="P64" s="783"/>
      <c r="Q64" s="779"/>
      <c r="R64" s="779"/>
      <c r="S64" s="779"/>
      <c r="T64" s="780"/>
      <c r="U64" s="780"/>
      <c r="V64" s="780"/>
      <c r="W64" s="113"/>
      <c r="X64" s="112"/>
      <c r="Y64" s="112"/>
      <c r="Z64" s="111"/>
    </row>
    <row r="65" spans="1:26" ht="35.25" customHeight="1" x14ac:dyDescent="0.2">
      <c r="A65" s="2"/>
      <c r="B65" s="20"/>
      <c r="C65" s="535" t="str">
        <f>IF(AND(D33&gt;0,D33&lt;=10),"KEINE ALTERNATIVENPRÜFUNG NOTWENDIG!",IF(OR(OR(K53,K54,L54,M54,N54,O54,K55)=TRUE,AND(D33&gt;25,G45&gt;0,G45&lt;3)),"ALTERNATIVENPRÜFUNG!",IF(AND(OR(K45,L45,M45,N45=TRUE),L44=0),"ALTERNATIVENPRÜFUNG!",IF(OR(K58,K40,K41,L41,M41,N41,M50,K48,L48,K50,L50)=TRUE,"KEINE ALTERNATIVENPRÜFUNG NOTWENDIG!",IF(AND(OR(K45,L45,M45,N45=TRUE),L44=1),"KEINE ALTERNATIVENPRÜFUNG NOTWENDIG!",IF(AND(OR(K45,L45,M45,N45=TRUE),G45=0),"Geben Sie die JAZ der Wärmepumpe an!"," "))))))</f>
        <v xml:space="preserve"> </v>
      </c>
      <c r="D65" s="21"/>
      <c r="E65" s="21"/>
      <c r="F65" s="1064" t="str">
        <f>IF(AND(D33&gt;0,D33&lt;=10),"Passivhäuser sind durch ihren geringen Energieverbrauch
an sich hocheffiziente Systeme. ",IF(AND(OR(K53,K54,L54,M54,N54,O54,K55)=TRUE,OR(K58,K40,K41,L41,M41,N41,K45,L45,M45,N45,K57,AND(K59=TRUE,N59=1),K48,L48,K50,L50,M50)=TRUE),"Vereinfachtes Verfahren! 
Wechseln Sie zum Tabellenblatt Vereinfachtes Verfahren.",IF(AND(OR(K53,K54,L54,M54,N54,O54,K55)=TRUE,OR(L58,M58)=TRUE,M78=1),"Vereinfachtes Verfahren! 
Wechseln Sie zum Tabellenblatt Vereinfachtes Verfahren.",IF(OR(K53,K54,L54,M54,N54,K55,O54=TRUE),"Wechseln Sie zum Tabellenblatt Alternativenprüfung.",IF(AND(OR(K45,L45,M45,N45)=TRUE,L44=0,OR(AND(OR(L58,M58=TRUE),M78=1),K40,K58,K41,L41,M41,N41,AND(K59=TRUE,N59=1),K48,L48,K50,L50,M50)=TRUE),"Vereinfachtes Verfahren! 
Wechseln Sie zum Tabellenblatt Vereinfachtes Verfahren.",IF(AND(OR(K45,L45,M45,N45=TRUE),L44=0),"Wechseln Sie zum Tabellenblatt Alternativenprüfung.",IF(K58=TRUE,"Dimensionierung der Anlage ist beizulegen",IF(AND(L44=1,OR(K45,L45,M45,N45=TRUE)),"Berechnung JAZ ist beizulegen"," "))))))))</f>
        <v xml:space="preserve"> </v>
      </c>
      <c r="G65" s="1064"/>
      <c r="H65" s="1065"/>
      <c r="K65" s="119"/>
      <c r="L65" s="119"/>
      <c r="M65" s="119"/>
      <c r="N65" s="119"/>
      <c r="O65" s="119"/>
      <c r="P65" s="779"/>
      <c r="Q65" s="779"/>
      <c r="R65" s="779"/>
      <c r="S65" s="779"/>
      <c r="T65" s="780"/>
      <c r="U65" s="780"/>
      <c r="V65" s="780"/>
      <c r="W65" s="113"/>
      <c r="X65" s="112"/>
      <c r="Y65" s="112"/>
      <c r="Z65" s="111"/>
    </row>
    <row r="66" spans="1:26" ht="3" customHeight="1" x14ac:dyDescent="0.2">
      <c r="A66" s="9"/>
      <c r="B66" s="6"/>
      <c r="C66" s="7"/>
      <c r="D66" s="7"/>
      <c r="E66" s="7"/>
      <c r="F66" s="172"/>
      <c r="G66" s="172"/>
      <c r="H66" s="339"/>
      <c r="J66" s="119"/>
      <c r="K66" s="119"/>
      <c r="L66" s="119"/>
      <c r="M66" s="119"/>
      <c r="N66" s="119"/>
      <c r="O66" s="119"/>
      <c r="P66" s="779"/>
      <c r="Q66" s="779"/>
      <c r="R66" s="779"/>
      <c r="S66" s="779"/>
      <c r="T66" s="780"/>
      <c r="U66" s="780"/>
      <c r="V66" s="780"/>
      <c r="W66" s="113"/>
      <c r="X66" s="112"/>
      <c r="Y66" s="112"/>
      <c r="Z66" s="111"/>
    </row>
    <row r="67" spans="1:26" ht="16.5" customHeight="1" x14ac:dyDescent="0.2">
      <c r="A67" s="15">
        <v>4</v>
      </c>
      <c r="B67" s="903" t="s">
        <v>445</v>
      </c>
      <c r="C67" s="867"/>
      <c r="D67" s="867"/>
      <c r="E67" s="867"/>
      <c r="F67" s="867"/>
      <c r="G67" s="867"/>
      <c r="H67" s="868"/>
      <c r="J67" s="119"/>
      <c r="K67" s="119"/>
      <c r="L67" s="119"/>
      <c r="M67" s="119"/>
      <c r="N67" s="119"/>
      <c r="O67" s="119"/>
      <c r="P67" s="779"/>
      <c r="Q67" s="779"/>
      <c r="R67" s="779"/>
      <c r="S67" s="779"/>
      <c r="T67" s="780"/>
      <c r="U67" s="780"/>
      <c r="V67" s="780"/>
      <c r="W67" s="113"/>
      <c r="X67" s="112"/>
      <c r="Y67" s="112"/>
      <c r="Z67" s="111"/>
    </row>
    <row r="68" spans="1:26" ht="3.75" customHeight="1" x14ac:dyDescent="0.2">
      <c r="A68" s="2"/>
      <c r="B68" s="4"/>
      <c r="C68" s="4"/>
      <c r="D68" s="4"/>
      <c r="E68" s="4"/>
      <c r="F68" s="4"/>
      <c r="G68" s="4"/>
      <c r="H68" s="5"/>
      <c r="J68" s="119" t="str">
        <f>IF(J191="ja",160," ")</f>
        <v xml:space="preserve"> </v>
      </c>
      <c r="K68" s="119"/>
      <c r="L68" s="119"/>
      <c r="M68" s="119"/>
      <c r="N68" s="119"/>
      <c r="O68" s="119"/>
      <c r="P68" s="779"/>
      <c r="Q68" s="779"/>
      <c r="R68" s="779"/>
      <c r="S68" s="779"/>
      <c r="T68" s="780"/>
      <c r="U68" s="780"/>
      <c r="V68" s="780"/>
      <c r="W68" s="113"/>
      <c r="X68" s="112"/>
      <c r="Y68" s="112"/>
      <c r="Z68" s="111"/>
    </row>
    <row r="69" spans="1:26" ht="13.5" customHeight="1" x14ac:dyDescent="0.2">
      <c r="A69" s="2"/>
      <c r="B69" s="4" t="s">
        <v>389</v>
      </c>
      <c r="C69" s="4" t="s">
        <v>388</v>
      </c>
      <c r="D69" s="4"/>
      <c r="E69" s="4"/>
      <c r="F69" s="66" t="str">
        <f>IF(OR(OR(K53,K54,L54,M54,N54,O54,K55)=TRUE,AND(D33&gt;25,G45&gt;0,G45&lt;3)),"",IF(AND(OR(K45,L45,M45,N45=TRUE),L44=0),"",IF(OR(K58,K40,K41,L41,M41,N41,M50,K48,L48,K50,L50)=TRUE,"erfüllt.",IF(AND(OR(K45,L45,M45,N45=TRUE),L44=1),"erfüllt."," "))))</f>
        <v xml:space="preserve"> </v>
      </c>
      <c r="G69" s="869" t="str">
        <f>IF(F69="erfüllt.","zu deckender Anteil:","")</f>
        <v/>
      </c>
      <c r="H69" s="896" t="str">
        <f>IF(F69="erfüllt.",(D33+Wirtschaftlichkeitsberechnung!D15)*Basisdaten!D29*0.5,"")</f>
        <v/>
      </c>
      <c r="J69" s="119"/>
      <c r="K69" s="119"/>
      <c r="L69" s="119"/>
      <c r="M69" s="119"/>
      <c r="N69" s="119"/>
      <c r="O69" s="119"/>
      <c r="P69" s="779"/>
      <c r="Q69" s="779"/>
      <c r="R69" s="779"/>
      <c r="S69" s="779"/>
      <c r="T69" s="780"/>
      <c r="U69" s="780"/>
      <c r="V69" s="780"/>
      <c r="W69" s="113"/>
      <c r="X69" s="112"/>
      <c r="Y69" s="112"/>
      <c r="Z69" s="111"/>
    </row>
    <row r="70" spans="1:26" ht="3" customHeight="1" x14ac:dyDescent="0.2">
      <c r="A70" s="2"/>
      <c r="B70" s="4"/>
      <c r="C70" s="4"/>
      <c r="D70" s="4"/>
      <c r="E70" s="4"/>
      <c r="F70" s="66"/>
      <c r="G70" s="4"/>
      <c r="H70" s="897"/>
      <c r="J70" s="119"/>
      <c r="K70" s="119"/>
      <c r="L70" s="119"/>
      <c r="M70" s="119"/>
      <c r="P70" s="512" t="s">
        <v>157</v>
      </c>
      <c r="Q70" s="779"/>
      <c r="R70" s="779"/>
      <c r="S70" s="779"/>
      <c r="T70" s="780"/>
      <c r="U70" s="780"/>
      <c r="V70" s="780"/>
      <c r="W70" s="113"/>
      <c r="X70" s="112"/>
      <c r="Y70" s="112"/>
      <c r="Z70" s="111"/>
    </row>
    <row r="71" spans="1:26" ht="13.5" customHeight="1" x14ac:dyDescent="0.2">
      <c r="A71" s="2"/>
      <c r="B71" s="4" t="s">
        <v>390</v>
      </c>
      <c r="C71" s="4" t="s">
        <v>391</v>
      </c>
      <c r="D71" s="4"/>
      <c r="E71" s="4"/>
      <c r="F71" s="866" t="str">
        <f>IF(M78=1,"durch den Einsatz von Solarthermie erfüllt.",IF(M79=1,"durch den Einsatz von Photovoltaik erfüllt.",IF(M80=1,"durch den Einsatz von WRG erfüllt.",IF(M81=1,"durch Effizienzsteigerungen erfüllt.",""))))</f>
        <v/>
      </c>
      <c r="G71" s="4"/>
      <c r="H71" s="916" t="str">
        <f>IF(M78=1,L78,IF(M79=1,L79,IF(M80=1,L80,"")))</f>
        <v/>
      </c>
      <c r="J71" s="119"/>
      <c r="K71" s="119" t="s">
        <v>155</v>
      </c>
      <c r="L71" s="131"/>
      <c r="M71" s="119"/>
      <c r="N71" s="120"/>
      <c r="O71" s="120" t="str">
        <f>IF(M33="ja","Endenergiebedarf:",IF(M33="nein","Gesamtenergieeffizienz-Faktor:",""))</f>
        <v>Gesamtenergieeffizienz-Faktor:</v>
      </c>
      <c r="P71" s="779" t="str">
        <f>IF(AND(K73="ja",M33="ja"),G37,IF(AND(K73="ja",M33="nein"),0.75,""))</f>
        <v/>
      </c>
      <c r="Q71" s="784" t="str">
        <f>IF(AND(L73="ja",M33="ja"),D37,IF(AND(L73="ja",M33="nein"),G33,""))</f>
        <v/>
      </c>
      <c r="R71" s="779"/>
      <c r="S71" s="779"/>
      <c r="T71" s="780"/>
      <c r="U71" s="780"/>
      <c r="V71" s="780"/>
      <c r="W71" s="113"/>
      <c r="X71" s="112"/>
      <c r="Y71" s="112"/>
      <c r="Z71" s="111"/>
    </row>
    <row r="72" spans="1:26" ht="3" customHeight="1" x14ac:dyDescent="0.2">
      <c r="A72" s="2"/>
      <c r="B72" s="4"/>
      <c r="C72" s="4"/>
      <c r="D72" s="4"/>
      <c r="E72" s="4"/>
      <c r="F72" s="4"/>
      <c r="G72" s="4"/>
      <c r="H72" s="5"/>
      <c r="J72" s="119"/>
      <c r="K72" s="119" t="s">
        <v>92</v>
      </c>
      <c r="L72" s="119" t="s">
        <v>154</v>
      </c>
      <c r="M72" s="119"/>
      <c r="N72" s="241"/>
      <c r="O72" s="245">
        <f>IF(M33="ja",2,IF(M33="nein",1,""))</f>
        <v>1</v>
      </c>
      <c r="P72" s="779"/>
      <c r="Q72" s="779"/>
      <c r="R72" s="779"/>
      <c r="S72" s="779"/>
      <c r="T72" s="780"/>
      <c r="U72" s="780"/>
      <c r="V72" s="780"/>
      <c r="W72" s="113"/>
      <c r="X72" s="112"/>
      <c r="Y72" s="112"/>
      <c r="Z72" s="111"/>
    </row>
    <row r="73" spans="1:26" ht="13.5" customHeight="1" x14ac:dyDescent="0.2">
      <c r="A73" s="2"/>
      <c r="B73" s="66" t="str">
        <f>IF(AND(M78=0,M79=0,M80=0,M81=0,M82=0,M83=0),"NICHT erfüllt!","")</f>
        <v/>
      </c>
      <c r="C73" s="4"/>
      <c r="D73" s="4"/>
      <c r="E73" s="4"/>
      <c r="F73" s="4"/>
      <c r="G73" s="4"/>
      <c r="H73" s="5"/>
      <c r="J73" s="119"/>
      <c r="K73" s="119" t="str">
        <f>IF(AND(D33&gt;0,D33&lt;=10),"nein",IF(AND(OR(K53,K54,L54,M54,N54,O54,K55)=TRUE,OR(K58,K40,K41,L41,M41,N41,K45,L45,M45,N45,K57,AND(K59=TRUE,N59=1),K48,L48,K50,L50,M50)=TRUE),"ja",IF(AND(OR(K53,K54,L54,M54,N54,O54,K55)=TRUE,OR(L58,M58)=TRUE,M78=1),"ja",IF(OR(K53,K54,L54,M54,N54,K55,O54=TRUE),"nein",IF(AND(OR(K45,L45,M45,N45)=TRUE,L44=0,OR(AND(OR(L58,M58=TRUE),M78=1),K40,K58,K41,L41,M41,N41,AND(K59=TRUE,N59=1),K48,L48,K50,L50,M50)=TRUE),"ja",IF(AND(OR(K45,L45,M45,N45=TRUE),L44=0),"nein"," "))))))</f>
        <v xml:space="preserve"> </v>
      </c>
      <c r="L73" s="119" t="str">
        <f>IF(AND(D33&gt;0,D33&lt;=10),"nein",IF(AND(OR(K53,K54,L54,M54,N54,O54,K55)=TRUE,OR(K58,K40,K41,L41,M41,N41,K45,L45,M45,N45,K57,AND(K59=TRUE,N59=1),K48,L48,K50,L50,M50)=TRUE),"ja",IF(AND(OR(K53,K54,L54,M54,N54,O54,K55)=TRUE,OR(L58,M58)=TRUE,M78=1),"ja",IF(OR(K53,K54,L54,M54,N54,K55,O54=TRUE),"nein",IF(AND(OR(K45,L45,M45,N45)=TRUE,L44=0,OR(AND(OR(L58,M58=TRUE),M78=1),K40,K58,K41,L41,M41,N41,AND(K59=TRUE,N59=1),K48,L48,K50,L50,M50)=TRUE),"ja",IF(AND(OR(K45,L45,M45,N45=TRUE),L44=0),"nein"," "))))))</f>
        <v xml:space="preserve"> </v>
      </c>
      <c r="M73" s="879" t="str">
        <f>IF(AND(D33&gt;0,D33&lt;=10),"nein ",IF(AND(OR(K53,K54,L54,M54,N54,O54,K55)=TRUE,OR(K58,K40,K41,L41,M41,N41,K45,L45,M45,N45,K59,K48,L48,K50,L50,M50)=TRUE),"ja",IF(AND(OR(K53,K54,L54,M54,N54,O54,K55)=TRUE,OR(L58,M58)=TRUE,L62=1),"ja",IF(OR(K53,K54,L54,M54,N54,K55,O54=TRUE),"nein",IF(AND(OR(K45,L45,M45,N45)=TRUE,L44=0,OR(AND(OR(L58,M58=TRUE),L62=1),K40,K58,K41,L41,M41,N41,K59,K48,L48,K50,L50,M50)=TRUE),"ja",IF(AND(OR(K45,L45,M45,N45=TRUE),L44=0),"nein",IF(K58=TRUE,"nein",IF(AND(L44=1,OR(K45,L45,M45,N45=TRUE)),"nein"," "))))))))</f>
        <v xml:space="preserve"> </v>
      </c>
      <c r="N73" s="119"/>
      <c r="O73" s="119"/>
      <c r="P73" s="779"/>
      <c r="Q73" s="779"/>
      <c r="R73" s="779"/>
      <c r="S73" s="779"/>
      <c r="T73" s="780"/>
      <c r="U73" s="780"/>
      <c r="V73" s="780"/>
      <c r="W73" s="113"/>
      <c r="X73" s="112"/>
      <c r="Y73" s="112"/>
      <c r="Z73" s="111"/>
    </row>
    <row r="74" spans="1:26" ht="1.5" customHeight="1" x14ac:dyDescent="0.2">
      <c r="A74" s="52"/>
      <c r="B74" s="6"/>
      <c r="C74" s="7"/>
      <c r="D74" s="7"/>
      <c r="E74" s="7"/>
      <c r="F74" s="7"/>
      <c r="G74" s="7"/>
      <c r="H74" s="7"/>
      <c r="I74" s="130"/>
      <c r="J74" s="119"/>
      <c r="K74" s="119"/>
      <c r="L74" s="119"/>
      <c r="M74" s="119"/>
      <c r="N74" s="119"/>
      <c r="O74" s="119"/>
      <c r="P74" s="779"/>
      <c r="Q74" s="779"/>
      <c r="R74" s="779"/>
      <c r="S74" s="779"/>
      <c r="T74" s="780"/>
      <c r="U74" s="780"/>
      <c r="V74" s="780"/>
      <c r="W74" s="113"/>
      <c r="X74" s="112"/>
      <c r="Y74" s="112"/>
      <c r="Z74" s="111"/>
    </row>
    <row r="75" spans="1:26" ht="10.5" customHeight="1" x14ac:dyDescent="0.2">
      <c r="A75" s="538"/>
      <c r="B75" s="4"/>
      <c r="C75" s="4"/>
      <c r="D75" s="4"/>
      <c r="E75" s="4"/>
      <c r="F75" s="4"/>
      <c r="G75" s="4"/>
      <c r="H75" s="4"/>
      <c r="J75" s="119"/>
      <c r="K75" s="119"/>
      <c r="L75" s="119"/>
      <c r="M75" s="119"/>
      <c r="N75" s="119"/>
      <c r="O75" s="119"/>
      <c r="P75" s="779"/>
      <c r="Q75" s="779"/>
      <c r="R75" s="779"/>
      <c r="S75" s="779"/>
      <c r="T75" s="780"/>
      <c r="U75" s="780"/>
      <c r="V75" s="780"/>
      <c r="W75" s="113"/>
      <c r="X75" s="112"/>
      <c r="Y75" s="112"/>
      <c r="Z75" s="111"/>
    </row>
    <row r="76" spans="1:26" ht="10.5" customHeight="1" x14ac:dyDescent="0.2">
      <c r="A76" s="538"/>
      <c r="B76" s="4"/>
      <c r="C76" s="4"/>
      <c r="D76" s="4"/>
      <c r="E76" s="4"/>
      <c r="F76" s="4"/>
      <c r="G76" s="4"/>
      <c r="H76" s="4"/>
      <c r="J76" s="119" t="s">
        <v>392</v>
      </c>
      <c r="K76" s="119"/>
      <c r="L76" s="119"/>
      <c r="M76" s="119"/>
      <c r="N76" s="119"/>
      <c r="O76" s="119"/>
      <c r="P76" s="779"/>
      <c r="Q76" s="779"/>
      <c r="R76" s="779"/>
      <c r="S76" s="779"/>
      <c r="T76" s="780"/>
      <c r="U76" s="780"/>
      <c r="V76" s="780"/>
      <c r="W76" s="113"/>
      <c r="X76" s="112"/>
      <c r="Y76" s="112"/>
      <c r="Z76" s="111"/>
    </row>
    <row r="77" spans="1:26" ht="10.5" customHeight="1" x14ac:dyDescent="0.2">
      <c r="A77" s="538"/>
      <c r="B77" s="4"/>
      <c r="C77" s="4"/>
      <c r="D77" s="4"/>
      <c r="E77" s="4"/>
      <c r="F77" s="4"/>
      <c r="G77" s="4"/>
      <c r="H77" s="4"/>
      <c r="J77" s="119"/>
      <c r="K77" s="119" t="s">
        <v>394</v>
      </c>
      <c r="L77" s="854" t="s">
        <v>397</v>
      </c>
      <c r="M77" s="854" t="s">
        <v>403</v>
      </c>
      <c r="N77" s="119" t="s">
        <v>398</v>
      </c>
      <c r="O77" s="119"/>
      <c r="P77" s="779"/>
      <c r="Q77" s="779"/>
      <c r="R77" s="779"/>
      <c r="S77" s="779"/>
      <c r="T77" s="780"/>
      <c r="U77" s="780"/>
      <c r="V77" s="780"/>
      <c r="W77" s="113"/>
      <c r="X77" s="112"/>
      <c r="Y77" s="112"/>
      <c r="Z77" s="111"/>
    </row>
    <row r="78" spans="1:26" ht="10.5" customHeight="1" x14ac:dyDescent="0.2">
      <c r="A78" s="538"/>
      <c r="B78" s="4"/>
      <c r="C78" s="4"/>
      <c r="D78" s="4"/>
      <c r="E78" s="4"/>
      <c r="F78" s="4"/>
      <c r="G78" s="4"/>
      <c r="H78" s="4"/>
      <c r="J78" s="120" t="s">
        <v>393</v>
      </c>
      <c r="K78" s="853">
        <f>Wirtschaftlichkeitsberechnung!D15*1.2*D29*0.1</f>
        <v>0</v>
      </c>
      <c r="L78" s="857">
        <f>MAX(P78,Q78)</f>
        <v>0</v>
      </c>
      <c r="M78" s="865">
        <f>IF(AND(L78&gt;0,L78&gt;=K78),1,0)</f>
        <v>0</v>
      </c>
      <c r="N78" s="119">
        <v>300</v>
      </c>
      <c r="O78" s="119" t="s">
        <v>359</v>
      </c>
      <c r="P78" s="858">
        <f>E60</f>
        <v>0</v>
      </c>
      <c r="Q78" s="779">
        <f>E61*N78</f>
        <v>0</v>
      </c>
      <c r="R78" s="859"/>
      <c r="S78" s="779"/>
      <c r="T78" s="780"/>
      <c r="U78" s="780"/>
      <c r="V78" s="780"/>
      <c r="W78" s="113"/>
      <c r="X78" s="112"/>
      <c r="Y78" s="112"/>
      <c r="Z78" s="111"/>
    </row>
    <row r="79" spans="1:26" ht="10.5" customHeight="1" x14ac:dyDescent="0.2">
      <c r="A79" s="538"/>
      <c r="B79" s="4"/>
      <c r="C79" s="4"/>
      <c r="D79" s="4"/>
      <c r="E79" s="4"/>
      <c r="F79" s="4"/>
      <c r="G79" s="4"/>
      <c r="H79" s="4"/>
      <c r="J79" s="120" t="s">
        <v>78</v>
      </c>
      <c r="K79" s="853">
        <f>L59</f>
        <v>0</v>
      </c>
      <c r="L79" s="853">
        <f>M59</f>
        <v>0</v>
      </c>
      <c r="M79" s="865">
        <f>N59</f>
        <v>0</v>
      </c>
      <c r="N79" s="119"/>
      <c r="O79" s="119"/>
      <c r="P79" s="779"/>
      <c r="Q79" s="779"/>
      <c r="R79" s="779"/>
      <c r="S79" s="779"/>
      <c r="T79" s="780"/>
      <c r="U79" s="780"/>
      <c r="V79" s="780"/>
      <c r="W79" s="113"/>
      <c r="X79" s="112"/>
      <c r="Y79" s="112"/>
      <c r="Z79" s="111"/>
    </row>
    <row r="80" spans="1:26" ht="10.5" customHeight="1" x14ac:dyDescent="0.2">
      <c r="A80" s="538"/>
      <c r="B80" s="4"/>
      <c r="C80" s="4"/>
      <c r="D80" s="4"/>
      <c r="E80" s="4"/>
      <c r="F80" s="4"/>
      <c r="G80" s="4"/>
      <c r="H80" s="4"/>
      <c r="J80" s="120" t="s">
        <v>395</v>
      </c>
      <c r="K80" s="853">
        <f>D35*D29*0.1</f>
        <v>0</v>
      </c>
      <c r="L80" s="853">
        <f>N80*D29</f>
        <v>0</v>
      </c>
      <c r="M80" s="865">
        <f>IF(AND(L80&gt;0,L80&gt;=K80),1,0)</f>
        <v>0</v>
      </c>
      <c r="N80" s="863">
        <f>IF(D35&gt;0,D35-D33,0)</f>
        <v>0</v>
      </c>
      <c r="O80" s="119"/>
      <c r="P80" s="779"/>
      <c r="Q80" s="779"/>
      <c r="R80" s="779"/>
      <c r="S80" s="779"/>
      <c r="T80" s="780"/>
      <c r="U80" s="780"/>
      <c r="V80" s="780"/>
      <c r="W80" s="113"/>
      <c r="X80" s="112"/>
      <c r="Y80" s="112"/>
      <c r="Z80" s="111"/>
    </row>
    <row r="81" spans="1:26" ht="10.5" customHeight="1" x14ac:dyDescent="0.2">
      <c r="A81" s="538"/>
      <c r="B81" s="4"/>
      <c r="C81" s="4"/>
      <c r="D81" s="4"/>
      <c r="E81" s="4"/>
      <c r="F81" s="4"/>
      <c r="G81" s="4"/>
      <c r="H81" s="4"/>
      <c r="J81" s="120" t="s">
        <v>396</v>
      </c>
      <c r="K81" s="512">
        <f>0.9*0.95</f>
        <v>0.85499999999999998</v>
      </c>
      <c r="L81" s="863">
        <f>G33</f>
        <v>0</v>
      </c>
      <c r="M81" s="865">
        <f>IF(L81=0,0,IF(K81&lt;=L81,0,1))</f>
        <v>0</v>
      </c>
      <c r="N81" s="119"/>
      <c r="O81" s="119"/>
      <c r="P81" s="779"/>
      <c r="Q81" s="779"/>
      <c r="R81" s="779"/>
      <c r="S81" s="779"/>
      <c r="T81" s="780"/>
      <c r="U81" s="780"/>
      <c r="V81" s="780"/>
      <c r="W81" s="113"/>
      <c r="X81" s="112"/>
      <c r="Y81" s="112"/>
      <c r="Z81" s="111"/>
    </row>
    <row r="82" spans="1:26" ht="10.5" customHeight="1" x14ac:dyDescent="0.2">
      <c r="A82" s="538"/>
      <c r="B82" s="4"/>
      <c r="C82" s="4"/>
      <c r="D82" s="4"/>
      <c r="E82" s="4"/>
      <c r="F82" s="4"/>
      <c r="G82" s="4"/>
      <c r="H82" s="4"/>
      <c r="J82" s="119" t="s">
        <v>404</v>
      </c>
      <c r="K82" s="119"/>
      <c r="L82" s="119"/>
      <c r="M82" s="865">
        <f>IF(F69="erfüllt",1,0)</f>
        <v>0</v>
      </c>
      <c r="N82" s="119"/>
      <c r="O82" s="119"/>
      <c r="P82" s="779"/>
      <c r="Q82" s="779"/>
      <c r="R82" s="779"/>
      <c r="S82" s="779"/>
      <c r="T82" s="780"/>
      <c r="U82" s="780"/>
      <c r="V82" s="780"/>
      <c r="W82" s="113"/>
      <c r="X82" s="112"/>
      <c r="Y82" s="112"/>
      <c r="Z82" s="111"/>
    </row>
    <row r="83" spans="1:26" ht="10.5" customHeight="1" x14ac:dyDescent="0.2">
      <c r="A83" s="538"/>
      <c r="B83" s="4"/>
      <c r="C83" s="4"/>
      <c r="D83" s="4"/>
      <c r="E83" s="4"/>
      <c r="F83" s="4"/>
      <c r="G83" s="4"/>
      <c r="H83" s="4"/>
      <c r="J83" s="119"/>
      <c r="K83" s="119"/>
      <c r="L83" s="119"/>
      <c r="M83" s="865">
        <f>IF(OR(D29=0,D31=0,D33=0,D35=0,D37=0,G29=0,G31=0,G33=0),1,0)</f>
        <v>1</v>
      </c>
      <c r="N83" s="119"/>
      <c r="O83" s="119"/>
      <c r="P83" s="779"/>
      <c r="Q83" s="779"/>
      <c r="R83" s="779"/>
      <c r="S83" s="779"/>
      <c r="T83" s="780"/>
      <c r="U83" s="780"/>
      <c r="V83" s="780"/>
      <c r="W83" s="113"/>
      <c r="X83" s="112"/>
      <c r="Y83" s="112"/>
      <c r="Z83" s="111"/>
    </row>
    <row r="84" spans="1:26" ht="10.5" customHeight="1" x14ac:dyDescent="0.2">
      <c r="A84" s="538"/>
      <c r="B84" s="4"/>
      <c r="C84" s="4"/>
      <c r="D84" s="4"/>
      <c r="E84" s="4"/>
      <c r="F84" s="4"/>
      <c r="G84" s="4"/>
      <c r="H84" s="4"/>
      <c r="J84" s="119"/>
      <c r="K84" s="119"/>
      <c r="L84" s="119"/>
      <c r="M84" s="119"/>
      <c r="N84" s="119"/>
      <c r="O84" s="119"/>
      <c r="P84" s="779"/>
      <c r="Q84" s="779"/>
      <c r="R84" s="779"/>
      <c r="S84" s="779"/>
      <c r="T84" s="780"/>
      <c r="U84" s="780"/>
      <c r="V84" s="780"/>
      <c r="W84" s="113"/>
      <c r="X84" s="112"/>
      <c r="Y84" s="112"/>
      <c r="Z84" s="111"/>
    </row>
    <row r="85" spans="1:26" ht="10.5" customHeight="1" x14ac:dyDescent="0.2">
      <c r="A85" s="538"/>
      <c r="B85" s="4"/>
      <c r="C85" s="4"/>
      <c r="D85" s="4"/>
      <c r="E85" s="4"/>
      <c r="F85" s="4"/>
      <c r="G85" s="4"/>
      <c r="H85" s="4"/>
      <c r="J85" s="119"/>
      <c r="K85" s="119"/>
      <c r="L85" s="119"/>
      <c r="M85" s="119"/>
      <c r="N85" s="119"/>
      <c r="O85" s="119"/>
      <c r="P85" s="779"/>
      <c r="Q85" s="779"/>
      <c r="R85" s="779"/>
      <c r="S85" s="779"/>
      <c r="T85" s="780"/>
      <c r="U85" s="780"/>
      <c r="V85" s="780"/>
      <c r="W85" s="113"/>
      <c r="X85" s="112"/>
      <c r="Y85" s="112"/>
      <c r="Z85" s="111"/>
    </row>
    <row r="86" spans="1:26" ht="10.5" customHeight="1" x14ac:dyDescent="0.2">
      <c r="A86" s="538"/>
      <c r="B86" s="4"/>
      <c r="C86" s="4"/>
      <c r="D86" s="4"/>
      <c r="E86" s="4"/>
      <c r="F86" s="4"/>
      <c r="G86" s="4"/>
      <c r="H86" s="4"/>
      <c r="J86" s="119"/>
      <c r="K86" s="119"/>
      <c r="L86" s="119"/>
      <c r="M86" s="119"/>
      <c r="N86" s="119"/>
      <c r="O86" s="119"/>
      <c r="P86" s="779"/>
      <c r="Q86" s="779"/>
      <c r="R86" s="779"/>
      <c r="S86" s="779"/>
      <c r="T86" s="780"/>
      <c r="U86" s="780"/>
      <c r="V86" s="780"/>
      <c r="W86" s="113"/>
      <c r="X86" s="112"/>
      <c r="Y86" s="112"/>
      <c r="Z86" s="111"/>
    </row>
    <row r="87" spans="1:26" ht="10.5" customHeight="1" x14ac:dyDescent="0.2">
      <c r="A87" s="538"/>
      <c r="B87" s="4"/>
      <c r="C87" s="4"/>
      <c r="D87" s="4"/>
      <c r="E87" s="4"/>
      <c r="F87" s="4"/>
      <c r="G87" s="4"/>
      <c r="H87" s="4"/>
      <c r="J87" s="119"/>
      <c r="K87" s="119"/>
      <c r="L87" s="119"/>
      <c r="M87" s="119"/>
      <c r="N87" s="119"/>
      <c r="O87" s="119"/>
      <c r="P87" s="779"/>
      <c r="Q87" s="779"/>
      <c r="R87" s="779"/>
      <c r="S87" s="779"/>
      <c r="T87" s="780"/>
      <c r="U87" s="780"/>
      <c r="V87" s="780"/>
      <c r="W87" s="113"/>
      <c r="X87" s="112"/>
      <c r="Y87" s="112"/>
      <c r="Z87" s="111"/>
    </row>
    <row r="88" spans="1:26" ht="10.5" customHeight="1" x14ac:dyDescent="0.2">
      <c r="A88" s="538"/>
      <c r="B88" s="4"/>
      <c r="C88" s="4"/>
      <c r="D88" s="4"/>
      <c r="E88" s="4"/>
      <c r="F88" s="4"/>
      <c r="G88" s="4"/>
      <c r="H88" s="4"/>
      <c r="J88" s="119"/>
      <c r="K88" s="119"/>
      <c r="L88" s="119"/>
      <c r="M88" s="119"/>
      <c r="N88" s="119"/>
      <c r="O88" s="119"/>
      <c r="P88" s="779"/>
      <c r="Q88" s="779"/>
      <c r="R88" s="779"/>
      <c r="S88" s="779"/>
      <c r="T88" s="780"/>
      <c r="U88" s="780"/>
      <c r="V88" s="780"/>
      <c r="W88" s="113"/>
      <c r="X88" s="112"/>
      <c r="Y88" s="112"/>
      <c r="Z88" s="111"/>
    </row>
    <row r="89" spans="1:26" ht="10.5" customHeight="1" x14ac:dyDescent="0.2">
      <c r="A89" s="538"/>
      <c r="B89" s="4"/>
      <c r="C89" s="4"/>
      <c r="D89" s="4"/>
      <c r="E89" s="4"/>
      <c r="F89" s="4"/>
      <c r="G89" s="4"/>
      <c r="H89" s="4"/>
      <c r="J89" s="119"/>
      <c r="K89" s="119"/>
      <c r="L89" s="119"/>
      <c r="M89" s="119"/>
      <c r="N89" s="119"/>
      <c r="O89" s="119"/>
      <c r="P89" s="779"/>
      <c r="Q89" s="779"/>
      <c r="R89" s="779"/>
      <c r="S89" s="779"/>
      <c r="T89" s="780"/>
      <c r="U89" s="780"/>
      <c r="V89" s="780"/>
      <c r="W89" s="113"/>
      <c r="X89" s="112"/>
      <c r="Y89" s="112"/>
      <c r="Z89" s="111"/>
    </row>
    <row r="90" spans="1:26" ht="10.5" customHeight="1" x14ac:dyDescent="0.2">
      <c r="A90" s="538"/>
      <c r="B90" s="4"/>
      <c r="C90" s="4"/>
      <c r="D90" s="4"/>
      <c r="E90" s="4"/>
      <c r="F90" s="4"/>
      <c r="G90" s="4"/>
      <c r="H90" s="4"/>
      <c r="J90" s="119"/>
      <c r="K90" s="119"/>
      <c r="L90" s="119"/>
      <c r="M90" s="119"/>
      <c r="N90" s="119"/>
      <c r="O90" s="119"/>
      <c r="P90" s="779"/>
      <c r="Q90" s="779"/>
      <c r="R90" s="779"/>
      <c r="S90" s="779"/>
      <c r="T90" s="780"/>
      <c r="U90" s="780"/>
      <c r="V90" s="780"/>
      <c r="W90" s="113"/>
      <c r="X90" s="112"/>
      <c r="Y90" s="112"/>
      <c r="Z90" s="111"/>
    </row>
    <row r="91" spans="1:26" ht="10.5" customHeight="1" x14ac:dyDescent="0.2">
      <c r="A91" s="538"/>
      <c r="B91" s="4"/>
      <c r="C91" s="4"/>
      <c r="D91" s="4"/>
      <c r="E91" s="4"/>
      <c r="F91" s="4"/>
      <c r="G91" s="4"/>
      <c r="H91" s="4"/>
      <c r="J91" s="119"/>
      <c r="K91" s="119"/>
      <c r="L91" s="119"/>
      <c r="M91" s="119"/>
      <c r="N91" s="119"/>
      <c r="O91" s="119"/>
      <c r="P91" s="779"/>
      <c r="Q91" s="779"/>
      <c r="R91" s="779"/>
      <c r="S91" s="779"/>
      <c r="T91" s="780"/>
      <c r="U91" s="780"/>
      <c r="V91" s="780"/>
      <c r="W91" s="113"/>
      <c r="X91" s="112"/>
      <c r="Y91" s="112"/>
      <c r="Z91" s="111"/>
    </row>
    <row r="92" spans="1:26" ht="10.5" customHeight="1" x14ac:dyDescent="0.2">
      <c r="A92" s="538"/>
      <c r="B92" s="4"/>
      <c r="C92" s="4"/>
      <c r="D92" s="4"/>
      <c r="E92" s="4"/>
      <c r="F92" s="4"/>
      <c r="G92" s="4"/>
      <c r="H92" s="4"/>
      <c r="J92" s="119"/>
      <c r="K92" s="119"/>
      <c r="L92" s="119"/>
      <c r="M92" s="119"/>
      <c r="N92" s="119"/>
      <c r="O92" s="119"/>
      <c r="P92" s="779"/>
      <c r="Q92" s="779"/>
      <c r="R92" s="779"/>
      <c r="S92" s="779"/>
      <c r="T92" s="780"/>
      <c r="U92" s="780"/>
      <c r="V92" s="780"/>
      <c r="W92" s="113"/>
      <c r="X92" s="112"/>
      <c r="Y92" s="112"/>
      <c r="Z92" s="111"/>
    </row>
    <row r="93" spans="1:26" ht="10.5" customHeight="1" x14ac:dyDescent="0.2">
      <c r="A93" s="538"/>
      <c r="B93" s="4"/>
      <c r="C93" s="4"/>
      <c r="D93" s="4"/>
      <c r="E93" s="4"/>
      <c r="F93" s="4"/>
      <c r="G93" s="4"/>
      <c r="H93" s="4"/>
      <c r="J93" s="119"/>
      <c r="K93" s="119"/>
      <c r="L93" s="119"/>
      <c r="M93" s="119"/>
      <c r="N93" s="119"/>
      <c r="O93" s="119"/>
      <c r="P93" s="779"/>
      <c r="Q93" s="779"/>
      <c r="R93" s="779"/>
      <c r="S93" s="779"/>
      <c r="T93" s="780"/>
      <c r="U93" s="780"/>
      <c r="V93" s="780"/>
      <c r="W93" s="113"/>
      <c r="X93" s="112"/>
      <c r="Y93" s="112"/>
      <c r="Z93" s="111"/>
    </row>
    <row r="94" spans="1:26" ht="10.5" customHeight="1" x14ac:dyDescent="0.2">
      <c r="A94" s="538"/>
      <c r="B94" s="4"/>
      <c r="C94" s="4"/>
      <c r="D94" s="4"/>
      <c r="E94" s="4"/>
      <c r="F94" s="4"/>
      <c r="G94" s="4"/>
      <c r="H94" s="4"/>
      <c r="J94" s="119"/>
      <c r="K94" s="119"/>
      <c r="L94" s="119"/>
      <c r="M94" s="119"/>
      <c r="N94" s="119"/>
      <c r="O94" s="119"/>
      <c r="P94" s="779"/>
      <c r="Q94" s="779"/>
      <c r="R94" s="779"/>
      <c r="S94" s="779"/>
      <c r="T94" s="780"/>
      <c r="U94" s="780"/>
      <c r="V94" s="780"/>
      <c r="W94" s="113"/>
      <c r="X94" s="112"/>
      <c r="Y94" s="112"/>
      <c r="Z94" s="111"/>
    </row>
    <row r="95" spans="1:26" ht="10.5" customHeight="1" x14ac:dyDescent="0.2">
      <c r="A95" s="538"/>
      <c r="B95" s="4"/>
      <c r="C95" s="4"/>
      <c r="D95" s="4"/>
      <c r="E95" s="4"/>
      <c r="F95" s="4"/>
      <c r="G95" s="4"/>
      <c r="H95" s="4"/>
      <c r="J95" s="119"/>
      <c r="K95" s="119"/>
      <c r="L95" s="119"/>
      <c r="M95" s="119"/>
      <c r="N95" s="119"/>
      <c r="O95" s="119"/>
      <c r="P95" s="779"/>
      <c r="Q95" s="779"/>
      <c r="R95" s="779"/>
      <c r="S95" s="779"/>
      <c r="T95" s="780"/>
      <c r="U95" s="780"/>
      <c r="V95" s="780"/>
      <c r="W95" s="113"/>
      <c r="X95" s="112"/>
      <c r="Y95" s="112"/>
      <c r="Z95" s="111"/>
    </row>
    <row r="96" spans="1:26" ht="10.5" customHeight="1" x14ac:dyDescent="0.2">
      <c r="A96" s="538"/>
      <c r="B96" s="4"/>
      <c r="C96" s="4"/>
      <c r="D96" s="4"/>
      <c r="E96" s="4"/>
      <c r="F96" s="4"/>
      <c r="G96" s="4"/>
      <c r="H96" s="4"/>
      <c r="J96" s="119"/>
      <c r="K96" s="119"/>
      <c r="L96" s="119"/>
      <c r="M96" s="119"/>
      <c r="N96" s="119"/>
      <c r="O96" s="119"/>
      <c r="P96" s="779"/>
      <c r="Q96" s="779"/>
      <c r="R96" s="779"/>
      <c r="S96" s="779"/>
      <c r="T96" s="780"/>
      <c r="U96" s="780"/>
      <c r="V96" s="780"/>
      <c r="W96" s="113"/>
      <c r="X96" s="112"/>
      <c r="Y96" s="112"/>
      <c r="Z96" s="111"/>
    </row>
    <row r="97" spans="1:26" ht="10.5" customHeight="1" x14ac:dyDescent="0.2">
      <c r="A97" s="538"/>
      <c r="B97" s="4"/>
      <c r="C97" s="4"/>
      <c r="D97" s="4"/>
      <c r="E97" s="4"/>
      <c r="F97" s="4"/>
      <c r="G97" s="4"/>
      <c r="H97" s="4"/>
      <c r="J97" s="119"/>
      <c r="K97" s="119"/>
      <c r="L97" s="119"/>
      <c r="M97" s="119"/>
      <c r="N97" s="119"/>
      <c r="O97" s="119"/>
      <c r="P97" s="779"/>
      <c r="Q97" s="779"/>
      <c r="R97" s="779"/>
      <c r="S97" s="779"/>
      <c r="T97" s="780"/>
      <c r="U97" s="780"/>
      <c r="V97" s="780"/>
      <c r="W97" s="113"/>
      <c r="X97" s="112"/>
      <c r="Y97" s="112"/>
      <c r="Z97" s="111"/>
    </row>
    <row r="98" spans="1:26" ht="10.5" customHeight="1" x14ac:dyDescent="0.2">
      <c r="A98" s="538"/>
      <c r="B98" s="4"/>
      <c r="C98" s="4"/>
      <c r="D98" s="4"/>
      <c r="E98" s="4"/>
      <c r="F98" s="4"/>
      <c r="G98" s="4"/>
      <c r="H98" s="4"/>
      <c r="J98" s="119"/>
      <c r="K98" s="119"/>
      <c r="L98" s="119"/>
      <c r="M98" s="119"/>
      <c r="N98" s="119"/>
      <c r="O98" s="119"/>
      <c r="P98" s="779"/>
      <c r="Q98" s="779"/>
      <c r="R98" s="779"/>
      <c r="S98" s="779"/>
      <c r="T98" s="780"/>
      <c r="U98" s="780"/>
      <c r="V98" s="780"/>
      <c r="W98" s="113"/>
      <c r="X98" s="112"/>
      <c r="Y98" s="112"/>
      <c r="Z98" s="111"/>
    </row>
    <row r="99" spans="1:26" ht="10.5" customHeight="1" x14ac:dyDescent="0.2">
      <c r="A99" s="538"/>
      <c r="B99" s="4"/>
      <c r="C99" s="4"/>
      <c r="D99" s="4"/>
      <c r="E99" s="4"/>
      <c r="F99" s="4"/>
      <c r="G99" s="4"/>
      <c r="H99" s="4"/>
      <c r="J99" s="119"/>
      <c r="K99" s="119"/>
      <c r="L99" s="119"/>
      <c r="M99" s="119"/>
      <c r="N99" s="119"/>
      <c r="O99" s="119"/>
      <c r="P99" s="779"/>
      <c r="Q99" s="779"/>
      <c r="R99" s="779"/>
      <c r="S99" s="779"/>
      <c r="T99" s="780"/>
      <c r="U99" s="780"/>
      <c r="V99" s="780"/>
      <c r="W99" s="113"/>
      <c r="X99" s="112"/>
      <c r="Y99" s="112"/>
      <c r="Z99" s="111"/>
    </row>
    <row r="100" spans="1:26" ht="10.5" customHeight="1" x14ac:dyDescent="0.2">
      <c r="A100" s="538"/>
      <c r="B100" s="4"/>
      <c r="C100" s="4"/>
      <c r="D100" s="4"/>
      <c r="E100" s="4"/>
      <c r="F100" s="4"/>
      <c r="G100" s="4"/>
      <c r="H100" s="4"/>
      <c r="J100" s="119"/>
      <c r="K100" s="119"/>
      <c r="L100" s="119"/>
      <c r="M100" s="119"/>
      <c r="N100" s="119"/>
      <c r="O100" s="119"/>
      <c r="P100" s="779"/>
      <c r="Q100" s="779"/>
      <c r="R100" s="779"/>
      <c r="S100" s="779"/>
      <c r="T100" s="780"/>
      <c r="U100" s="780"/>
      <c r="V100" s="780"/>
      <c r="W100" s="113"/>
      <c r="X100" s="112"/>
      <c r="Y100" s="112"/>
      <c r="Z100" s="111"/>
    </row>
    <row r="101" spans="1:26" ht="10.5" customHeight="1" x14ac:dyDescent="0.2">
      <c r="A101" s="538"/>
      <c r="B101" s="4"/>
      <c r="C101" s="4"/>
      <c r="D101" s="4"/>
      <c r="E101" s="4"/>
      <c r="F101" s="4"/>
      <c r="G101" s="4"/>
      <c r="H101" s="4"/>
      <c r="J101" s="119"/>
      <c r="K101" s="119"/>
      <c r="L101" s="119"/>
      <c r="M101" s="119"/>
      <c r="N101" s="119"/>
      <c r="O101" s="119"/>
      <c r="P101" s="779"/>
      <c r="Q101" s="779"/>
      <c r="R101" s="779"/>
      <c r="S101" s="779"/>
      <c r="T101" s="780"/>
      <c r="U101" s="780"/>
      <c r="V101" s="780"/>
      <c r="W101" s="113"/>
      <c r="X101" s="112"/>
      <c r="Y101" s="112"/>
      <c r="Z101" s="111"/>
    </row>
    <row r="102" spans="1:26" ht="10.5" customHeight="1" x14ac:dyDescent="0.2">
      <c r="A102" s="538"/>
      <c r="B102" s="4"/>
      <c r="C102" s="4"/>
      <c r="D102" s="4"/>
      <c r="E102" s="4"/>
      <c r="F102" s="4"/>
      <c r="G102" s="4"/>
      <c r="H102" s="4"/>
      <c r="J102" s="119"/>
      <c r="K102" s="119"/>
      <c r="L102" s="119"/>
      <c r="M102" s="119"/>
      <c r="N102" s="119"/>
      <c r="O102" s="119"/>
      <c r="P102" s="779"/>
      <c r="Q102" s="779"/>
      <c r="R102" s="779"/>
      <c r="S102" s="779"/>
      <c r="T102" s="780"/>
      <c r="U102" s="780"/>
      <c r="V102" s="780"/>
      <c r="W102" s="113"/>
      <c r="X102" s="112"/>
      <c r="Y102" s="112"/>
      <c r="Z102" s="111"/>
    </row>
    <row r="103" spans="1:26" ht="10.5" customHeight="1" x14ac:dyDescent="0.2">
      <c r="A103" s="538"/>
      <c r="B103" s="4"/>
      <c r="C103" s="4"/>
      <c r="D103" s="4"/>
      <c r="E103" s="4"/>
      <c r="F103" s="4"/>
      <c r="G103" s="4"/>
      <c r="H103" s="4"/>
      <c r="J103" s="119"/>
      <c r="K103" s="119"/>
      <c r="L103" s="119"/>
      <c r="M103" s="119"/>
      <c r="N103" s="119"/>
      <c r="O103" s="119"/>
      <c r="P103" s="779"/>
      <c r="Q103" s="779"/>
      <c r="R103" s="779"/>
      <c r="S103" s="779"/>
      <c r="T103" s="780"/>
      <c r="U103" s="780"/>
      <c r="V103" s="780"/>
      <c r="W103" s="113"/>
      <c r="X103" s="112"/>
      <c r="Y103" s="112"/>
      <c r="Z103" s="111"/>
    </row>
    <row r="104" spans="1:26" ht="10.5" customHeight="1" x14ac:dyDescent="0.2">
      <c r="A104" s="538"/>
      <c r="B104" s="4"/>
      <c r="C104" s="4"/>
      <c r="D104" s="4"/>
      <c r="E104" s="4"/>
      <c r="F104" s="4"/>
      <c r="G104" s="4"/>
      <c r="H104" s="4"/>
      <c r="J104" s="119"/>
      <c r="K104" s="119"/>
      <c r="L104" s="119"/>
      <c r="M104" s="119"/>
      <c r="N104" s="119"/>
      <c r="O104" s="119"/>
      <c r="P104" s="779"/>
      <c r="Q104" s="779"/>
      <c r="R104" s="779"/>
      <c r="S104" s="779"/>
      <c r="T104" s="780"/>
      <c r="U104" s="780"/>
      <c r="V104" s="780"/>
      <c r="W104" s="113"/>
      <c r="X104" s="112"/>
      <c r="Y104" s="112"/>
      <c r="Z104" s="111"/>
    </row>
    <row r="105" spans="1:26" ht="10.5" customHeight="1" x14ac:dyDescent="0.2">
      <c r="A105" s="538"/>
      <c r="B105" s="4"/>
      <c r="C105" s="4"/>
      <c r="D105" s="4"/>
      <c r="E105" s="4"/>
      <c r="F105" s="4"/>
      <c r="G105" s="4"/>
      <c r="H105" s="4"/>
      <c r="J105" s="119"/>
      <c r="K105" s="119"/>
      <c r="L105" s="119"/>
      <c r="M105" s="119"/>
      <c r="N105" s="119"/>
      <c r="O105" s="119"/>
      <c r="P105" s="779"/>
      <c r="Q105" s="779"/>
      <c r="R105" s="779"/>
      <c r="S105" s="779"/>
      <c r="T105" s="780"/>
      <c r="U105" s="780"/>
      <c r="V105" s="780"/>
      <c r="W105" s="113"/>
      <c r="X105" s="112"/>
      <c r="Y105" s="112"/>
      <c r="Z105" s="111"/>
    </row>
    <row r="106" spans="1:26" ht="10.5" customHeight="1" x14ac:dyDescent="0.2">
      <c r="A106" s="538"/>
      <c r="B106" s="4"/>
      <c r="C106" s="4"/>
      <c r="D106" s="4"/>
      <c r="E106" s="4"/>
      <c r="F106" s="4"/>
      <c r="G106" s="4"/>
      <c r="H106" s="4"/>
      <c r="J106" s="119"/>
      <c r="K106" s="119"/>
      <c r="L106" s="119"/>
      <c r="M106" s="119"/>
      <c r="N106" s="119"/>
      <c r="O106" s="119"/>
      <c r="P106" s="779"/>
      <c r="Q106" s="779"/>
      <c r="R106" s="779"/>
      <c r="S106" s="779"/>
      <c r="T106" s="780"/>
      <c r="U106" s="780"/>
      <c r="V106" s="780"/>
      <c r="W106" s="113"/>
      <c r="X106" s="112"/>
      <c r="Y106" s="112"/>
      <c r="Z106" s="111"/>
    </row>
    <row r="107" spans="1:26" ht="10.5" customHeight="1" x14ac:dyDescent="0.2">
      <c r="A107" s="538"/>
      <c r="B107" s="4"/>
      <c r="C107" s="4"/>
      <c r="D107" s="4"/>
      <c r="E107" s="4"/>
      <c r="F107" s="4"/>
      <c r="G107" s="4"/>
      <c r="H107" s="4"/>
      <c r="J107" s="119"/>
      <c r="K107" s="119"/>
      <c r="L107" s="119"/>
      <c r="M107" s="119"/>
      <c r="N107" s="119"/>
      <c r="O107" s="119"/>
      <c r="P107" s="779"/>
      <c r="Q107" s="779"/>
      <c r="R107" s="779"/>
      <c r="S107" s="779"/>
      <c r="T107" s="780"/>
      <c r="U107" s="780"/>
      <c r="V107" s="780"/>
      <c r="W107" s="113"/>
      <c r="X107" s="112"/>
      <c r="Y107" s="112"/>
      <c r="Z107" s="111"/>
    </row>
    <row r="108" spans="1:26" ht="10.5" customHeight="1" x14ac:dyDescent="0.2">
      <c r="A108" s="538"/>
      <c r="B108" s="4"/>
      <c r="C108" s="4"/>
      <c r="D108" s="4"/>
      <c r="E108" s="4"/>
      <c r="F108" s="4"/>
      <c r="G108" s="4"/>
      <c r="H108" s="4"/>
      <c r="J108" s="119"/>
      <c r="K108" s="119"/>
      <c r="L108" s="119"/>
      <c r="M108" s="119"/>
      <c r="N108" s="119"/>
      <c r="O108" s="119"/>
      <c r="P108" s="779"/>
      <c r="Q108" s="779"/>
      <c r="R108" s="779"/>
      <c r="S108" s="779"/>
      <c r="T108" s="780"/>
      <c r="U108" s="780"/>
      <c r="V108" s="780"/>
      <c r="W108" s="113"/>
      <c r="X108" s="112"/>
      <c r="Y108" s="112"/>
      <c r="Z108" s="111"/>
    </row>
    <row r="109" spans="1:26" ht="10.5" customHeight="1" x14ac:dyDescent="0.2">
      <c r="A109" s="538"/>
      <c r="B109" s="4"/>
      <c r="C109" s="4"/>
      <c r="D109" s="4"/>
      <c r="E109" s="4"/>
      <c r="F109" s="4"/>
      <c r="G109" s="4"/>
      <c r="H109" s="4"/>
      <c r="J109" s="119"/>
      <c r="K109" s="119"/>
      <c r="L109" s="119"/>
      <c r="M109" s="119"/>
      <c r="N109" s="119"/>
      <c r="O109" s="119"/>
      <c r="P109" s="779"/>
      <c r="Q109" s="779"/>
      <c r="R109" s="779"/>
      <c r="S109" s="779"/>
      <c r="T109" s="780"/>
      <c r="U109" s="780"/>
      <c r="V109" s="780"/>
      <c r="W109" s="113"/>
      <c r="X109" s="112"/>
      <c r="Y109" s="112"/>
      <c r="Z109" s="111"/>
    </row>
    <row r="110" spans="1:26" ht="10.5" customHeight="1" x14ac:dyDescent="0.2">
      <c r="A110" s="538"/>
      <c r="B110" s="4"/>
      <c r="C110" s="4"/>
      <c r="D110" s="4"/>
      <c r="E110" s="4"/>
      <c r="F110" s="4"/>
      <c r="G110" s="4"/>
      <c r="H110" s="4"/>
      <c r="J110" s="119"/>
      <c r="K110" s="119"/>
      <c r="L110" s="119"/>
      <c r="M110" s="119"/>
      <c r="N110" s="119"/>
      <c r="O110" s="119"/>
      <c r="P110" s="779"/>
      <c r="Q110" s="779"/>
      <c r="R110" s="779"/>
      <c r="S110" s="779"/>
      <c r="T110" s="780"/>
      <c r="U110" s="780"/>
      <c r="V110" s="780"/>
      <c r="W110" s="113"/>
      <c r="X110" s="112"/>
      <c r="Y110" s="112"/>
      <c r="Z110" s="111"/>
    </row>
    <row r="111" spans="1:26" ht="10.5" customHeight="1" x14ac:dyDescent="0.2">
      <c r="A111" s="538"/>
      <c r="B111" s="4"/>
      <c r="C111" s="4"/>
      <c r="D111" s="4"/>
      <c r="E111" s="4"/>
      <c r="F111" s="4"/>
      <c r="G111" s="4"/>
      <c r="H111" s="4"/>
      <c r="J111" s="119"/>
      <c r="K111" s="119"/>
      <c r="L111" s="119"/>
      <c r="M111" s="119"/>
      <c r="N111" s="119"/>
      <c r="O111" s="119"/>
      <c r="P111" s="779"/>
      <c r="Q111" s="779"/>
      <c r="R111" s="779"/>
      <c r="S111" s="779"/>
      <c r="T111" s="780"/>
      <c r="U111" s="780"/>
      <c r="V111" s="780"/>
      <c r="W111" s="113"/>
      <c r="X111" s="112"/>
      <c r="Y111" s="112"/>
      <c r="Z111" s="111"/>
    </row>
    <row r="112" spans="1:26" ht="10.5" customHeight="1" x14ac:dyDescent="0.2">
      <c r="A112" s="538"/>
      <c r="B112" s="4"/>
      <c r="C112" s="4"/>
      <c r="D112" s="4"/>
      <c r="E112" s="4"/>
      <c r="F112" s="4"/>
      <c r="G112" s="4"/>
      <c r="H112" s="4"/>
      <c r="J112" s="119"/>
      <c r="K112" s="119"/>
      <c r="L112" s="119"/>
      <c r="M112" s="119"/>
      <c r="N112" s="119"/>
      <c r="O112" s="119"/>
      <c r="P112" s="779"/>
      <c r="Q112" s="779"/>
      <c r="R112" s="779"/>
      <c r="S112" s="779"/>
      <c r="T112" s="780"/>
      <c r="U112" s="780"/>
      <c r="V112" s="780"/>
      <c r="W112" s="113"/>
      <c r="X112" s="112"/>
      <c r="Y112" s="112"/>
      <c r="Z112" s="111"/>
    </row>
    <row r="113" spans="1:26" ht="10.5" customHeight="1" x14ac:dyDescent="0.2">
      <c r="A113" s="538"/>
      <c r="B113" s="4"/>
      <c r="C113" s="4"/>
      <c r="D113" s="4"/>
      <c r="E113" s="4"/>
      <c r="F113" s="4"/>
      <c r="G113" s="4"/>
      <c r="H113" s="4"/>
      <c r="J113" s="119"/>
      <c r="K113" s="119"/>
      <c r="L113" s="119"/>
      <c r="M113" s="119"/>
      <c r="N113" s="119"/>
      <c r="O113" s="119"/>
      <c r="P113" s="779"/>
      <c r="Q113" s="779"/>
      <c r="R113" s="779"/>
      <c r="S113" s="779"/>
      <c r="T113" s="780"/>
      <c r="U113" s="780"/>
      <c r="V113" s="780"/>
      <c r="W113" s="113"/>
      <c r="X113" s="112"/>
      <c r="Y113" s="112"/>
      <c r="Z113" s="111"/>
    </row>
    <row r="114" spans="1:26" ht="10.5" customHeight="1" x14ac:dyDescent="0.2">
      <c r="A114" s="538"/>
      <c r="B114" s="4"/>
      <c r="C114" s="4"/>
      <c r="D114" s="4"/>
      <c r="E114" s="4"/>
      <c r="F114" s="4"/>
      <c r="G114" s="4"/>
      <c r="H114" s="4"/>
      <c r="J114" s="119"/>
      <c r="K114" s="119"/>
      <c r="L114" s="119"/>
      <c r="M114" s="119"/>
      <c r="N114" s="119"/>
      <c r="O114" s="119"/>
      <c r="P114" s="779"/>
      <c r="Q114" s="779"/>
      <c r="R114" s="779"/>
      <c r="S114" s="779"/>
      <c r="T114" s="780"/>
      <c r="U114" s="780"/>
      <c r="V114" s="780"/>
      <c r="W114" s="113"/>
      <c r="X114" s="112"/>
      <c r="Y114" s="112"/>
      <c r="Z114" s="111"/>
    </row>
    <row r="115" spans="1:26" ht="10.5" customHeight="1" x14ac:dyDescent="0.2">
      <c r="A115" s="538"/>
      <c r="B115" s="4"/>
      <c r="C115" s="4"/>
      <c r="D115" s="4"/>
      <c r="E115" s="4"/>
      <c r="F115" s="4"/>
      <c r="G115" s="4"/>
      <c r="H115" s="4"/>
      <c r="J115" s="119"/>
      <c r="K115" s="119"/>
      <c r="L115" s="119"/>
      <c r="M115" s="119"/>
      <c r="N115" s="119"/>
      <c r="O115" s="119"/>
      <c r="P115" s="779"/>
      <c r="Q115" s="779"/>
      <c r="R115" s="779"/>
      <c r="S115" s="779"/>
      <c r="T115" s="780"/>
      <c r="U115" s="780"/>
      <c r="V115" s="780"/>
      <c r="W115" s="113"/>
      <c r="X115" s="112"/>
      <c r="Y115" s="112"/>
      <c r="Z115" s="111"/>
    </row>
    <row r="116" spans="1:26" ht="10.5" customHeight="1" x14ac:dyDescent="0.2">
      <c r="A116" s="538"/>
      <c r="B116" s="4"/>
      <c r="C116" s="4"/>
      <c r="D116" s="4"/>
      <c r="E116" s="4"/>
      <c r="F116" s="4"/>
      <c r="G116" s="4"/>
      <c r="H116" s="4"/>
      <c r="J116" s="119"/>
      <c r="K116" s="119"/>
      <c r="L116" s="119"/>
      <c r="M116" s="119"/>
      <c r="N116" s="119"/>
      <c r="O116" s="119"/>
      <c r="P116" s="779"/>
      <c r="Q116" s="779"/>
      <c r="R116" s="779"/>
      <c r="S116" s="779"/>
      <c r="T116" s="780"/>
      <c r="U116" s="780"/>
      <c r="V116" s="780"/>
      <c r="W116" s="113"/>
      <c r="X116" s="112"/>
      <c r="Y116" s="112"/>
      <c r="Z116" s="111"/>
    </row>
    <row r="117" spans="1:26" ht="10.5" customHeight="1" x14ac:dyDescent="0.2">
      <c r="A117" s="538"/>
      <c r="B117" s="4"/>
      <c r="C117" s="4"/>
      <c r="D117" s="4"/>
      <c r="E117" s="4"/>
      <c r="F117" s="4"/>
      <c r="G117" s="4"/>
      <c r="H117" s="4"/>
      <c r="J117" s="119"/>
      <c r="K117" s="119"/>
      <c r="L117" s="119"/>
      <c r="M117" s="119"/>
      <c r="N117" s="119"/>
      <c r="O117" s="119"/>
      <c r="P117" s="779"/>
      <c r="Q117" s="779"/>
      <c r="R117" s="779"/>
      <c r="S117" s="779"/>
      <c r="T117" s="780"/>
      <c r="U117" s="780"/>
      <c r="V117" s="780"/>
      <c r="W117" s="113"/>
      <c r="X117" s="112"/>
      <c r="Y117" s="112"/>
      <c r="Z117" s="111"/>
    </row>
    <row r="118" spans="1:26" ht="10.5" customHeight="1" x14ac:dyDescent="0.2">
      <c r="A118" s="538"/>
      <c r="B118" s="4"/>
      <c r="C118" s="4"/>
      <c r="D118" s="4"/>
      <c r="E118" s="4"/>
      <c r="F118" s="4"/>
      <c r="G118" s="4"/>
      <c r="H118" s="4"/>
      <c r="J118" s="119"/>
      <c r="K118" s="119"/>
      <c r="L118" s="119"/>
      <c r="M118" s="119"/>
      <c r="N118" s="119"/>
      <c r="O118" s="119"/>
      <c r="P118" s="779"/>
      <c r="Q118" s="779"/>
      <c r="R118" s="779"/>
      <c r="S118" s="779"/>
      <c r="T118" s="780"/>
      <c r="U118" s="780"/>
      <c r="V118" s="780"/>
      <c r="W118" s="113"/>
      <c r="X118" s="112"/>
      <c r="Y118" s="112"/>
      <c r="Z118" s="111"/>
    </row>
    <row r="119" spans="1:26" ht="10.5" customHeight="1" x14ac:dyDescent="0.2">
      <c r="A119" s="538"/>
      <c r="B119" s="4"/>
      <c r="C119" s="4"/>
      <c r="D119" s="4"/>
      <c r="E119" s="4"/>
      <c r="F119" s="4"/>
      <c r="G119" s="4"/>
      <c r="H119" s="4"/>
      <c r="J119" s="119"/>
      <c r="K119" s="119"/>
      <c r="L119" s="119"/>
      <c r="M119" s="119"/>
      <c r="N119" s="119"/>
      <c r="O119" s="119"/>
      <c r="P119" s="779"/>
      <c r="Q119" s="779"/>
      <c r="R119" s="779"/>
      <c r="S119" s="779"/>
      <c r="T119" s="780"/>
      <c r="U119" s="780"/>
      <c r="V119" s="780"/>
      <c r="W119" s="113"/>
      <c r="X119" s="112"/>
      <c r="Y119" s="112"/>
      <c r="Z119" s="111"/>
    </row>
    <row r="120" spans="1:26" ht="10.5" customHeight="1" x14ac:dyDescent="0.2">
      <c r="A120" s="538"/>
      <c r="B120" s="4"/>
      <c r="C120" s="4"/>
      <c r="D120" s="4"/>
      <c r="E120" s="4"/>
      <c r="F120" s="4"/>
      <c r="G120" s="4"/>
      <c r="H120" s="4"/>
      <c r="J120" s="119"/>
      <c r="K120" s="119"/>
      <c r="L120" s="119"/>
      <c r="M120" s="119"/>
      <c r="N120" s="119"/>
      <c r="O120" s="119"/>
      <c r="P120" s="779"/>
      <c r="Q120" s="779"/>
      <c r="R120" s="779"/>
      <c r="S120" s="779"/>
      <c r="T120" s="780"/>
      <c r="U120" s="780"/>
      <c r="V120" s="780"/>
      <c r="W120" s="113"/>
      <c r="X120" s="112"/>
      <c r="Y120" s="112"/>
      <c r="Z120" s="111"/>
    </row>
    <row r="121" spans="1:26" ht="10.5" customHeight="1" x14ac:dyDescent="0.2">
      <c r="A121" s="538"/>
      <c r="B121" s="4"/>
      <c r="C121" s="4"/>
      <c r="D121" s="4"/>
      <c r="E121" s="4"/>
      <c r="F121" s="4"/>
      <c r="G121" s="4"/>
      <c r="H121" s="4"/>
      <c r="J121" s="119"/>
      <c r="K121" s="119"/>
      <c r="L121" s="119"/>
      <c r="M121" s="119"/>
      <c r="N121" s="119"/>
      <c r="O121" s="119"/>
      <c r="P121" s="779"/>
      <c r="Q121" s="779"/>
      <c r="R121" s="779"/>
      <c r="S121" s="779"/>
      <c r="T121" s="780"/>
      <c r="U121" s="780"/>
      <c r="V121" s="780"/>
      <c r="W121" s="113"/>
      <c r="X121" s="112"/>
      <c r="Y121" s="112"/>
      <c r="Z121" s="111"/>
    </row>
    <row r="122" spans="1:26" ht="10.5" customHeight="1" x14ac:dyDescent="0.2">
      <c r="A122" s="538"/>
      <c r="B122" s="4"/>
      <c r="C122" s="4"/>
      <c r="D122" s="4"/>
      <c r="E122" s="4"/>
      <c r="F122" s="4"/>
      <c r="G122" s="4"/>
      <c r="H122" s="4"/>
      <c r="J122" s="119"/>
      <c r="K122" s="119"/>
      <c r="L122" s="119"/>
      <c r="M122" s="119"/>
      <c r="N122" s="119"/>
      <c r="O122" s="119"/>
      <c r="P122" s="779"/>
      <c r="Q122" s="779"/>
      <c r="R122" s="779"/>
      <c r="S122" s="779"/>
      <c r="T122" s="780"/>
      <c r="U122" s="780"/>
      <c r="V122" s="780"/>
      <c r="W122" s="113"/>
      <c r="X122" s="112"/>
      <c r="Y122" s="112"/>
      <c r="Z122" s="111"/>
    </row>
    <row r="123" spans="1:26" ht="10.5" customHeight="1" x14ac:dyDescent="0.2">
      <c r="A123" s="538"/>
      <c r="B123" s="4"/>
      <c r="C123" s="4"/>
      <c r="D123" s="4"/>
      <c r="E123" s="4"/>
      <c r="F123" s="4"/>
      <c r="G123" s="4"/>
      <c r="H123" s="4"/>
      <c r="J123" s="119"/>
      <c r="K123" s="119"/>
      <c r="L123" s="119"/>
      <c r="M123" s="119"/>
      <c r="N123" s="119"/>
      <c r="O123" s="119"/>
      <c r="P123" s="779"/>
      <c r="Q123" s="779"/>
      <c r="R123" s="779"/>
      <c r="S123" s="779"/>
      <c r="T123" s="780"/>
      <c r="U123" s="780"/>
      <c r="V123" s="780"/>
      <c r="W123" s="113"/>
      <c r="X123" s="112"/>
      <c r="Y123" s="112"/>
      <c r="Z123" s="111"/>
    </row>
    <row r="124" spans="1:26" ht="10.5" customHeight="1" x14ac:dyDescent="0.2">
      <c r="A124" s="538"/>
      <c r="B124" s="4"/>
      <c r="C124" s="4"/>
      <c r="D124" s="4"/>
      <c r="E124" s="4"/>
      <c r="F124" s="4"/>
      <c r="G124" s="4"/>
      <c r="H124" s="4"/>
      <c r="J124" s="119"/>
      <c r="K124" s="119"/>
      <c r="L124" s="119"/>
      <c r="M124" s="119"/>
      <c r="N124" s="119"/>
      <c r="O124" s="119"/>
      <c r="P124" s="779"/>
      <c r="Q124" s="779"/>
      <c r="R124" s="779"/>
      <c r="S124" s="779"/>
      <c r="T124" s="780"/>
      <c r="U124" s="780"/>
      <c r="V124" s="780"/>
      <c r="W124" s="113"/>
      <c r="X124" s="112"/>
      <c r="Y124" s="112"/>
      <c r="Z124" s="111"/>
    </row>
    <row r="125" spans="1:26" ht="10.5" customHeight="1" x14ac:dyDescent="0.2">
      <c r="A125" s="538"/>
      <c r="B125" s="4"/>
      <c r="C125" s="4"/>
      <c r="D125" s="4"/>
      <c r="E125" s="4"/>
      <c r="F125" s="4"/>
      <c r="G125" s="4"/>
      <c r="H125" s="4"/>
      <c r="J125" s="119"/>
      <c r="K125" s="119"/>
      <c r="L125" s="119"/>
      <c r="M125" s="119"/>
      <c r="N125" s="119"/>
      <c r="O125" s="119"/>
      <c r="P125" s="779"/>
      <c r="Q125" s="779"/>
      <c r="R125" s="779"/>
      <c r="S125" s="779"/>
      <c r="T125" s="780"/>
      <c r="U125" s="780"/>
      <c r="V125" s="780"/>
      <c r="W125" s="113"/>
      <c r="X125" s="112"/>
      <c r="Y125" s="112"/>
      <c r="Z125" s="111"/>
    </row>
    <row r="126" spans="1:26" ht="10.5" customHeight="1" x14ac:dyDescent="0.2">
      <c r="A126" s="538"/>
      <c r="B126" s="4"/>
      <c r="C126" s="4"/>
      <c r="D126" s="4"/>
      <c r="E126" s="4"/>
      <c r="F126" s="4"/>
      <c r="G126" s="4"/>
      <c r="H126" s="4"/>
      <c r="J126" s="119"/>
      <c r="K126" s="119"/>
      <c r="L126" s="119"/>
      <c r="M126" s="119"/>
      <c r="N126" s="119"/>
      <c r="O126" s="119"/>
      <c r="P126" s="779"/>
      <c r="Q126" s="779"/>
      <c r="R126" s="779"/>
      <c r="S126" s="779"/>
      <c r="T126" s="780"/>
      <c r="U126" s="780"/>
      <c r="V126" s="780"/>
      <c r="W126" s="113"/>
      <c r="X126" s="112"/>
      <c r="Y126" s="112"/>
      <c r="Z126" s="111"/>
    </row>
    <row r="127" spans="1:26" ht="10.5" customHeight="1" x14ac:dyDescent="0.2">
      <c r="A127" s="538"/>
      <c r="B127" s="4"/>
      <c r="C127" s="4"/>
      <c r="D127" s="4"/>
      <c r="E127" s="4"/>
      <c r="F127" s="4"/>
      <c r="G127" s="4"/>
      <c r="H127" s="4"/>
      <c r="J127" s="119"/>
      <c r="K127" s="119"/>
      <c r="L127" s="119"/>
      <c r="M127" s="119"/>
      <c r="N127" s="119"/>
      <c r="O127" s="119"/>
      <c r="P127" s="779"/>
      <c r="Q127" s="779"/>
      <c r="R127" s="779"/>
      <c r="S127" s="779"/>
      <c r="T127" s="780"/>
      <c r="U127" s="780"/>
      <c r="V127" s="780"/>
      <c r="W127" s="113"/>
      <c r="X127" s="112"/>
      <c r="Y127" s="112"/>
      <c r="Z127" s="111"/>
    </row>
    <row r="128" spans="1:26" ht="10.5" customHeight="1" x14ac:dyDescent="0.2">
      <c r="A128" s="538"/>
      <c r="B128" s="4"/>
      <c r="C128" s="4"/>
      <c r="D128" s="4"/>
      <c r="E128" s="4"/>
      <c r="F128" s="4"/>
      <c r="G128" s="4"/>
      <c r="H128" s="4"/>
      <c r="J128" s="119"/>
      <c r="K128" s="119"/>
      <c r="L128" s="119"/>
      <c r="M128" s="119"/>
      <c r="N128" s="119"/>
      <c r="O128" s="119"/>
      <c r="P128" s="779"/>
      <c r="Q128" s="779"/>
      <c r="R128" s="779"/>
      <c r="S128" s="779"/>
      <c r="T128" s="780"/>
      <c r="U128" s="780"/>
      <c r="V128" s="780"/>
      <c r="W128" s="113"/>
      <c r="X128" s="112"/>
      <c r="Y128" s="112"/>
      <c r="Z128" s="111"/>
    </row>
    <row r="129" spans="1:26" ht="10.5" customHeight="1" x14ac:dyDescent="0.2">
      <c r="A129" s="538"/>
      <c r="B129" s="4"/>
      <c r="C129" s="4"/>
      <c r="D129" s="4"/>
      <c r="E129" s="4"/>
      <c r="F129" s="4"/>
      <c r="G129" s="4"/>
      <c r="H129" s="4"/>
      <c r="J129" s="119"/>
      <c r="K129" s="119"/>
      <c r="L129" s="119"/>
      <c r="M129" s="119"/>
      <c r="N129" s="119"/>
      <c r="O129" s="119"/>
      <c r="P129" s="779"/>
      <c r="Q129" s="779"/>
      <c r="R129" s="779"/>
      <c r="S129" s="779"/>
      <c r="T129" s="780"/>
      <c r="U129" s="780"/>
      <c r="V129" s="780"/>
      <c r="W129" s="113"/>
      <c r="X129" s="112"/>
      <c r="Y129" s="112"/>
      <c r="Z129" s="111"/>
    </row>
    <row r="130" spans="1:26" ht="10.5" customHeight="1" x14ac:dyDescent="0.2">
      <c r="A130" s="538"/>
      <c r="B130" s="4"/>
      <c r="C130" s="4"/>
      <c r="D130" s="4"/>
      <c r="E130" s="4"/>
      <c r="F130" s="4"/>
      <c r="G130" s="4"/>
      <c r="H130" s="4"/>
      <c r="J130" s="119"/>
      <c r="K130" s="119"/>
      <c r="L130" s="119"/>
      <c r="M130" s="119"/>
      <c r="N130" s="119"/>
      <c r="O130" s="119"/>
      <c r="P130" s="779"/>
      <c r="Q130" s="779"/>
      <c r="R130" s="779"/>
      <c r="S130" s="779"/>
      <c r="T130" s="780"/>
      <c r="U130" s="780"/>
      <c r="V130" s="780"/>
      <c r="W130" s="113"/>
      <c r="X130" s="112"/>
      <c r="Y130" s="112"/>
      <c r="Z130" s="111"/>
    </row>
    <row r="131" spans="1:26" ht="10.5" customHeight="1" x14ac:dyDescent="0.2">
      <c r="A131" s="538"/>
      <c r="B131" s="4"/>
      <c r="C131" s="4"/>
      <c r="D131" s="4"/>
      <c r="E131" s="4"/>
      <c r="F131" s="4"/>
      <c r="G131" s="4"/>
      <c r="H131" s="4"/>
      <c r="J131" s="119"/>
      <c r="K131" s="119"/>
      <c r="L131" s="119"/>
      <c r="M131" s="119"/>
      <c r="N131" s="119"/>
      <c r="O131" s="119"/>
      <c r="P131" s="779"/>
      <c r="Q131" s="779"/>
      <c r="R131" s="779"/>
      <c r="S131" s="779"/>
      <c r="T131" s="780"/>
      <c r="U131" s="780"/>
      <c r="V131" s="780"/>
      <c r="W131" s="113"/>
      <c r="X131" s="112"/>
      <c r="Y131" s="112"/>
      <c r="Z131" s="111"/>
    </row>
    <row r="132" spans="1:26" ht="10.5" customHeight="1" x14ac:dyDescent="0.2">
      <c r="A132" s="538"/>
      <c r="B132" s="4"/>
      <c r="C132" s="4"/>
      <c r="D132" s="4"/>
      <c r="E132" s="4"/>
      <c r="F132" s="4"/>
      <c r="G132" s="4"/>
      <c r="H132" s="4"/>
      <c r="J132" s="119"/>
      <c r="K132" s="119"/>
      <c r="L132" s="119"/>
      <c r="M132" s="119"/>
      <c r="N132" s="119"/>
      <c r="O132" s="119"/>
      <c r="P132" s="779"/>
      <c r="Q132" s="779"/>
      <c r="R132" s="779"/>
      <c r="S132" s="779"/>
      <c r="T132" s="780"/>
      <c r="U132" s="780"/>
      <c r="V132" s="780"/>
      <c r="W132" s="113"/>
      <c r="X132" s="112"/>
      <c r="Y132" s="112"/>
      <c r="Z132" s="111"/>
    </row>
    <row r="133" spans="1:26" ht="10.5" customHeight="1" x14ac:dyDescent="0.2">
      <c r="A133" s="538"/>
      <c r="B133" s="4"/>
      <c r="C133" s="4"/>
      <c r="D133" s="4"/>
      <c r="E133" s="4"/>
      <c r="F133" s="4"/>
      <c r="G133" s="4"/>
      <c r="H133" s="4"/>
      <c r="J133" s="119"/>
      <c r="K133" s="119"/>
      <c r="L133" s="119"/>
      <c r="M133" s="119"/>
      <c r="N133" s="119"/>
      <c r="O133" s="119"/>
      <c r="P133" s="779"/>
      <c r="Q133" s="779"/>
      <c r="R133" s="779"/>
      <c r="S133" s="779"/>
      <c r="T133" s="780"/>
      <c r="U133" s="780"/>
      <c r="V133" s="780"/>
      <c r="W133" s="113"/>
      <c r="X133" s="112"/>
      <c r="Y133" s="112"/>
      <c r="Z133" s="111"/>
    </row>
    <row r="134" spans="1:26" ht="10.5" customHeight="1" x14ac:dyDescent="0.2">
      <c r="A134" s="538"/>
      <c r="B134" s="4"/>
      <c r="C134" s="4"/>
      <c r="D134" s="4"/>
      <c r="E134" s="4"/>
      <c r="F134" s="4"/>
      <c r="G134" s="4"/>
      <c r="H134" s="4"/>
      <c r="J134" s="119"/>
      <c r="K134" s="119"/>
      <c r="L134" s="119"/>
      <c r="M134" s="119"/>
      <c r="N134" s="119"/>
      <c r="O134" s="119"/>
      <c r="P134" s="779"/>
      <c r="Q134" s="779"/>
      <c r="R134" s="779"/>
      <c r="S134" s="779"/>
      <c r="T134" s="780"/>
      <c r="U134" s="780"/>
      <c r="V134" s="780"/>
      <c r="W134" s="113"/>
      <c r="X134" s="112"/>
      <c r="Y134" s="112"/>
      <c r="Z134" s="111"/>
    </row>
    <row r="135" spans="1:26" ht="10.5" customHeight="1" x14ac:dyDescent="0.2">
      <c r="A135" s="538"/>
      <c r="B135" s="4"/>
      <c r="C135" s="4"/>
      <c r="D135" s="4"/>
      <c r="E135" s="4"/>
      <c r="F135" s="4"/>
      <c r="G135" s="4"/>
      <c r="H135" s="4"/>
      <c r="J135" s="119"/>
      <c r="K135" s="119"/>
      <c r="L135" s="119"/>
      <c r="M135" s="119"/>
      <c r="N135" s="119"/>
      <c r="O135" s="119"/>
      <c r="P135" s="779"/>
      <c r="Q135" s="779"/>
      <c r="R135" s="779"/>
      <c r="S135" s="779"/>
      <c r="T135" s="780"/>
      <c r="U135" s="780"/>
      <c r="V135" s="780"/>
      <c r="W135" s="113"/>
      <c r="X135" s="112"/>
      <c r="Y135" s="112"/>
      <c r="Z135" s="111"/>
    </row>
    <row r="136" spans="1:26" ht="10.5" customHeight="1" x14ac:dyDescent="0.2">
      <c r="A136" s="538"/>
      <c r="B136" s="4"/>
      <c r="C136" s="4"/>
      <c r="D136" s="4"/>
      <c r="E136" s="4"/>
      <c r="F136" s="4"/>
      <c r="G136" s="4"/>
      <c r="H136" s="4"/>
      <c r="J136" s="119"/>
      <c r="K136" s="119"/>
      <c r="L136" s="119"/>
      <c r="M136" s="119"/>
      <c r="N136" s="119"/>
      <c r="O136" s="119"/>
      <c r="P136" s="779"/>
      <c r="Q136" s="779"/>
      <c r="R136" s="779"/>
      <c r="S136" s="779"/>
      <c r="T136" s="780"/>
      <c r="U136" s="780"/>
      <c r="V136" s="780"/>
      <c r="W136" s="113"/>
      <c r="X136" s="112"/>
      <c r="Y136" s="112"/>
      <c r="Z136" s="111"/>
    </row>
    <row r="137" spans="1:26" ht="10.5" customHeight="1" x14ac:dyDescent="0.2">
      <c r="A137" s="547"/>
      <c r="B137" s="4"/>
      <c r="C137" s="4"/>
      <c r="D137" s="4"/>
      <c r="E137" s="4"/>
      <c r="F137" s="4"/>
      <c r="G137" s="4"/>
      <c r="H137" s="4"/>
      <c r="J137" s="119"/>
      <c r="K137" s="119"/>
      <c r="L137" s="119"/>
      <c r="M137" s="119"/>
      <c r="N137" s="119"/>
      <c r="O137" s="119"/>
      <c r="P137" s="779"/>
      <c r="Q137" s="779"/>
      <c r="R137" s="779"/>
      <c r="S137" s="779"/>
      <c r="T137" s="780"/>
      <c r="U137" s="780"/>
      <c r="V137" s="780"/>
      <c r="W137" s="113"/>
      <c r="X137" s="112"/>
      <c r="Y137" s="112"/>
      <c r="Z137" s="111"/>
    </row>
    <row r="138" spans="1:26" ht="10.5" customHeight="1" x14ac:dyDescent="0.2">
      <c r="A138" s="547"/>
      <c r="B138" s="4"/>
      <c r="C138" s="4"/>
      <c r="D138" s="4"/>
      <c r="E138" s="4"/>
      <c r="F138" s="4"/>
      <c r="G138" s="4"/>
      <c r="H138" s="4"/>
      <c r="J138" s="119"/>
      <c r="K138" s="119"/>
      <c r="L138" s="119"/>
      <c r="M138" s="119"/>
      <c r="N138" s="119"/>
      <c r="O138" s="119"/>
      <c r="P138" s="779"/>
      <c r="Q138" s="779"/>
      <c r="R138" s="779"/>
      <c r="S138" s="779"/>
      <c r="T138" s="780"/>
      <c r="U138" s="780"/>
      <c r="V138" s="780"/>
      <c r="W138" s="113"/>
      <c r="X138" s="112"/>
      <c r="Y138" s="112"/>
      <c r="Z138" s="111"/>
    </row>
    <row r="139" spans="1:26" ht="10.5" customHeight="1" x14ac:dyDescent="0.2">
      <c r="A139" s="547"/>
      <c r="B139" s="4"/>
      <c r="C139" s="4"/>
      <c r="D139" s="4"/>
      <c r="E139" s="4"/>
      <c r="F139" s="4"/>
      <c r="G139" s="4"/>
      <c r="H139" s="4"/>
      <c r="J139" s="119"/>
      <c r="K139" s="119"/>
      <c r="L139" s="119"/>
      <c r="M139" s="119"/>
      <c r="N139" s="119"/>
      <c r="O139" s="119"/>
      <c r="P139" s="779"/>
      <c r="Q139" s="779"/>
      <c r="R139" s="779"/>
      <c r="S139" s="779"/>
      <c r="T139" s="780"/>
      <c r="U139" s="780"/>
      <c r="V139" s="780"/>
      <c r="W139" s="113"/>
      <c r="X139" s="112"/>
      <c r="Y139" s="112"/>
      <c r="Z139" s="111"/>
    </row>
    <row r="140" spans="1:26" ht="10.5" customHeight="1" x14ac:dyDescent="0.2">
      <c r="A140" s="547"/>
      <c r="B140" s="4"/>
      <c r="C140" s="4"/>
      <c r="D140" s="4"/>
      <c r="E140" s="4"/>
      <c r="F140" s="4"/>
      <c r="G140" s="4"/>
      <c r="H140" s="4"/>
      <c r="J140" s="119"/>
      <c r="K140" s="119"/>
      <c r="L140" s="119"/>
      <c r="M140" s="119"/>
      <c r="N140" s="119"/>
      <c r="O140" s="119"/>
      <c r="P140" s="779"/>
      <c r="Q140" s="779"/>
      <c r="R140" s="779"/>
      <c r="S140" s="779"/>
      <c r="T140" s="780"/>
      <c r="U140" s="780"/>
      <c r="V140" s="780"/>
      <c r="W140" s="113"/>
      <c r="X140" s="112"/>
      <c r="Y140" s="112"/>
      <c r="Z140" s="111"/>
    </row>
    <row r="141" spans="1:26" ht="10.5" customHeight="1" x14ac:dyDescent="0.2">
      <c r="A141" s="547"/>
      <c r="B141" s="4"/>
      <c r="C141" s="4"/>
      <c r="D141" s="4"/>
      <c r="E141" s="4"/>
      <c r="F141" s="4"/>
      <c r="G141" s="4"/>
      <c r="H141" s="4"/>
      <c r="J141" s="119"/>
      <c r="K141" s="119"/>
      <c r="L141" s="119"/>
      <c r="M141" s="119"/>
      <c r="N141" s="119"/>
      <c r="O141" s="119"/>
      <c r="P141" s="779"/>
      <c r="Q141" s="779"/>
      <c r="R141" s="779"/>
      <c r="S141" s="779"/>
      <c r="T141" s="780"/>
      <c r="U141" s="780"/>
      <c r="V141" s="780"/>
      <c r="W141" s="113"/>
      <c r="X141" s="112"/>
      <c r="Y141" s="112"/>
      <c r="Z141" s="111"/>
    </row>
    <row r="142" spans="1:26" ht="10.5" customHeight="1" x14ac:dyDescent="0.2">
      <c r="A142" s="547"/>
      <c r="B142" s="4"/>
      <c r="C142" s="4"/>
      <c r="D142" s="4"/>
      <c r="E142" s="4"/>
      <c r="F142" s="4"/>
      <c r="G142" s="4"/>
      <c r="H142" s="4"/>
      <c r="J142" s="119"/>
      <c r="K142" s="119"/>
      <c r="L142" s="119"/>
      <c r="M142" s="119"/>
      <c r="N142" s="119"/>
      <c r="O142" s="119"/>
      <c r="P142" s="779"/>
      <c r="Q142" s="779"/>
      <c r="R142" s="779"/>
      <c r="S142" s="779"/>
      <c r="T142" s="780"/>
      <c r="U142" s="780"/>
      <c r="V142" s="780"/>
      <c r="W142" s="113"/>
      <c r="X142" s="112"/>
      <c r="Y142" s="112"/>
      <c r="Z142" s="111"/>
    </row>
    <row r="143" spans="1:26" ht="10.5" customHeight="1" x14ac:dyDescent="0.2">
      <c r="A143" s="547"/>
      <c r="B143" s="4"/>
      <c r="C143" s="4"/>
      <c r="D143" s="4"/>
      <c r="E143" s="4"/>
      <c r="F143" s="4"/>
      <c r="G143" s="4"/>
      <c r="H143" s="4"/>
      <c r="J143" s="119"/>
      <c r="K143" s="119"/>
      <c r="L143" s="119"/>
      <c r="M143" s="119"/>
      <c r="N143" s="119"/>
      <c r="O143" s="119"/>
      <c r="P143" s="779"/>
      <c r="Q143" s="779"/>
      <c r="R143" s="779"/>
      <c r="S143" s="779"/>
      <c r="T143" s="780"/>
      <c r="U143" s="780"/>
      <c r="V143" s="780"/>
      <c r="W143" s="113"/>
      <c r="X143" s="112"/>
      <c r="Y143" s="112"/>
      <c r="Z143" s="111"/>
    </row>
    <row r="144" spans="1:26" ht="10.5" customHeight="1" x14ac:dyDescent="0.2">
      <c r="A144" s="547"/>
      <c r="B144" s="4"/>
      <c r="C144" s="4"/>
      <c r="D144" s="4"/>
      <c r="E144" s="4"/>
      <c r="F144" s="4"/>
      <c r="G144" s="4"/>
      <c r="H144" s="4"/>
      <c r="J144" s="119"/>
      <c r="K144" s="119"/>
      <c r="L144" s="119"/>
      <c r="M144" s="119"/>
      <c r="N144" s="119"/>
      <c r="O144" s="119"/>
      <c r="P144" s="779"/>
      <c r="Q144" s="779"/>
      <c r="R144" s="779"/>
      <c r="S144" s="779"/>
      <c r="T144" s="780"/>
      <c r="U144" s="780"/>
      <c r="V144" s="780"/>
      <c r="W144" s="113"/>
      <c r="X144" s="112"/>
      <c r="Y144" s="112"/>
      <c r="Z144" s="111"/>
    </row>
    <row r="145" spans="1:26" ht="10.5" customHeight="1" x14ac:dyDescent="0.2">
      <c r="A145" s="547"/>
      <c r="B145" s="4"/>
      <c r="C145" s="4"/>
      <c r="D145" s="4"/>
      <c r="E145" s="4"/>
      <c r="F145" s="4"/>
      <c r="G145" s="4"/>
      <c r="H145" s="4"/>
      <c r="J145" s="119"/>
      <c r="K145" s="119"/>
      <c r="L145" s="119"/>
      <c r="M145" s="119"/>
      <c r="N145" s="119"/>
      <c r="O145" s="119"/>
      <c r="P145" s="779"/>
      <c r="Q145" s="779"/>
      <c r="R145" s="779"/>
      <c r="S145" s="779"/>
      <c r="T145" s="780"/>
      <c r="U145" s="780"/>
      <c r="V145" s="780"/>
      <c r="W145" s="113"/>
      <c r="X145" s="112"/>
      <c r="Y145" s="112"/>
      <c r="Z145" s="111"/>
    </row>
    <row r="146" spans="1:26" ht="10.5" customHeight="1" x14ac:dyDescent="0.2">
      <c r="A146" s="547"/>
      <c r="B146" s="4"/>
      <c r="C146" s="4"/>
      <c r="D146" s="4"/>
      <c r="E146" s="4"/>
      <c r="F146" s="4"/>
      <c r="G146" s="4"/>
      <c r="H146" s="4"/>
      <c r="J146" s="119"/>
      <c r="K146" s="119"/>
      <c r="L146" s="119"/>
      <c r="M146" s="119"/>
      <c r="N146" s="119"/>
      <c r="O146" s="119"/>
      <c r="P146" s="779"/>
      <c r="Q146" s="779"/>
      <c r="R146" s="779"/>
      <c r="S146" s="779"/>
      <c r="T146" s="780"/>
      <c r="U146" s="780"/>
      <c r="V146" s="780"/>
      <c r="W146" s="113"/>
      <c r="X146" s="112"/>
      <c r="Y146" s="112"/>
      <c r="Z146" s="111"/>
    </row>
    <row r="147" spans="1:26" ht="10.5" customHeight="1" x14ac:dyDescent="0.2">
      <c r="A147" s="547"/>
      <c r="B147" s="4"/>
      <c r="C147" s="4"/>
      <c r="D147" s="4"/>
      <c r="E147" s="4"/>
      <c r="F147" s="4"/>
      <c r="G147" s="4"/>
      <c r="H147" s="4"/>
      <c r="J147" s="119"/>
      <c r="K147" s="119"/>
      <c r="L147" s="119"/>
      <c r="M147" s="119"/>
      <c r="N147" s="119"/>
      <c r="O147" s="119"/>
      <c r="P147" s="779"/>
      <c r="Q147" s="779"/>
      <c r="R147" s="779"/>
      <c r="S147" s="779"/>
      <c r="T147" s="780"/>
      <c r="U147" s="780"/>
      <c r="V147" s="780"/>
      <c r="W147" s="113"/>
      <c r="X147" s="112"/>
      <c r="Y147" s="112"/>
      <c r="Z147" s="111"/>
    </row>
    <row r="148" spans="1:26" ht="10.5" customHeight="1" x14ac:dyDescent="0.2">
      <c r="A148" s="547"/>
      <c r="B148" s="4"/>
      <c r="C148" s="4"/>
      <c r="D148" s="4"/>
      <c r="E148" s="4"/>
      <c r="F148" s="4"/>
      <c r="G148" s="4"/>
      <c r="H148" s="4"/>
      <c r="J148" s="119"/>
      <c r="K148" s="119"/>
      <c r="L148" s="119"/>
      <c r="M148" s="119"/>
      <c r="N148" s="119"/>
      <c r="O148" s="119"/>
      <c r="P148" s="779"/>
      <c r="Q148" s="779"/>
      <c r="R148" s="779"/>
      <c r="S148" s="779"/>
      <c r="T148" s="780"/>
      <c r="U148" s="780"/>
      <c r="V148" s="780"/>
      <c r="W148" s="113"/>
      <c r="X148" s="112"/>
      <c r="Y148" s="112"/>
      <c r="Z148" s="111"/>
    </row>
    <row r="149" spans="1:26" ht="10.5" customHeight="1" x14ac:dyDescent="0.2">
      <c r="A149" s="547"/>
      <c r="B149" s="4"/>
      <c r="C149" s="4"/>
      <c r="D149" s="4"/>
      <c r="E149" s="4"/>
      <c r="F149" s="4"/>
      <c r="G149" s="4"/>
      <c r="H149" s="4"/>
      <c r="J149" s="119"/>
      <c r="K149" s="119"/>
      <c r="L149" s="119"/>
      <c r="M149" s="119"/>
      <c r="N149" s="119"/>
      <c r="O149" s="119"/>
      <c r="P149" s="779"/>
      <c r="Q149" s="779"/>
      <c r="R149" s="779"/>
      <c r="S149" s="779"/>
      <c r="T149" s="780"/>
      <c r="U149" s="780"/>
      <c r="V149" s="780"/>
      <c r="W149" s="113"/>
      <c r="X149" s="112"/>
      <c r="Y149" s="112"/>
      <c r="Z149" s="111"/>
    </row>
    <row r="150" spans="1:26" ht="10.5" customHeight="1" x14ac:dyDescent="0.2">
      <c r="A150" s="547"/>
      <c r="B150" s="4"/>
      <c r="C150" s="4"/>
      <c r="D150" s="4"/>
      <c r="E150" s="4"/>
      <c r="F150" s="4"/>
      <c r="G150" s="4"/>
      <c r="H150" s="4"/>
      <c r="J150" s="119"/>
      <c r="K150" s="119"/>
      <c r="L150" s="119"/>
      <c r="M150" s="119"/>
      <c r="N150" s="119"/>
      <c r="O150" s="119"/>
      <c r="P150" s="779"/>
      <c r="Q150" s="779"/>
      <c r="R150" s="779"/>
      <c r="S150" s="779"/>
      <c r="T150" s="780"/>
      <c r="U150" s="780"/>
      <c r="V150" s="780"/>
      <c r="W150" s="113"/>
      <c r="X150" s="112"/>
      <c r="Y150" s="112"/>
      <c r="Z150" s="111"/>
    </row>
    <row r="151" spans="1:26" ht="10.5" customHeight="1" x14ac:dyDescent="0.2">
      <c r="A151" s="547"/>
      <c r="B151" s="4"/>
      <c r="C151" s="4"/>
      <c r="D151" s="4"/>
      <c r="E151" s="4"/>
      <c r="F151" s="4"/>
      <c r="G151" s="4"/>
      <c r="H151" s="4"/>
      <c r="J151" s="119"/>
      <c r="K151" s="119"/>
      <c r="L151" s="119"/>
      <c r="M151" s="119"/>
      <c r="N151" s="119"/>
      <c r="O151" s="119"/>
      <c r="P151" s="779"/>
      <c r="Q151" s="779"/>
      <c r="R151" s="779"/>
      <c r="S151" s="779"/>
      <c r="T151" s="780"/>
      <c r="U151" s="780"/>
      <c r="V151" s="780"/>
      <c r="W151" s="113"/>
      <c r="X151" s="112"/>
      <c r="Y151" s="112"/>
      <c r="Z151" s="111"/>
    </row>
    <row r="152" spans="1:26" ht="10.5" customHeight="1" x14ac:dyDescent="0.2">
      <c r="A152" s="547"/>
      <c r="B152" s="4"/>
      <c r="C152" s="4"/>
      <c r="D152" s="4"/>
      <c r="E152" s="4"/>
      <c r="F152" s="4"/>
      <c r="G152" s="4"/>
      <c r="H152" s="4"/>
      <c r="J152" s="119"/>
      <c r="K152" s="119"/>
      <c r="L152" s="119"/>
      <c r="M152" s="119"/>
      <c r="N152" s="119"/>
      <c r="O152" s="119"/>
      <c r="P152" s="779"/>
      <c r="Q152" s="779"/>
      <c r="R152" s="779"/>
      <c r="S152" s="779"/>
      <c r="T152" s="780"/>
      <c r="U152" s="780"/>
      <c r="V152" s="780"/>
      <c r="W152" s="113"/>
      <c r="X152" s="112"/>
      <c r="Y152" s="112"/>
      <c r="Z152" s="111"/>
    </row>
    <row r="153" spans="1:26" ht="10.5" customHeight="1" x14ac:dyDescent="0.2">
      <c r="A153" s="547"/>
      <c r="B153" s="4"/>
      <c r="C153" s="4"/>
      <c r="D153" s="4"/>
      <c r="E153" s="4"/>
      <c r="F153" s="4"/>
      <c r="G153" s="4"/>
      <c r="H153" s="4"/>
      <c r="J153" s="119"/>
      <c r="K153" s="119"/>
      <c r="L153" s="119"/>
      <c r="M153" s="119"/>
      <c r="N153" s="119"/>
      <c r="O153" s="119"/>
      <c r="P153" s="779"/>
      <c r="Q153" s="779"/>
      <c r="R153" s="779"/>
      <c r="S153" s="779"/>
      <c r="T153" s="780"/>
      <c r="U153" s="780"/>
      <c r="V153" s="780"/>
      <c r="W153" s="113"/>
      <c r="X153" s="112"/>
      <c r="Y153" s="112"/>
      <c r="Z153" s="111"/>
    </row>
    <row r="154" spans="1:26" ht="10.5" customHeight="1" x14ac:dyDescent="0.2">
      <c r="A154" s="547"/>
      <c r="B154" s="4"/>
      <c r="C154" s="4"/>
      <c r="D154" s="4"/>
      <c r="E154" s="4"/>
      <c r="F154" s="4"/>
      <c r="G154" s="4"/>
      <c r="H154" s="4"/>
      <c r="J154" s="119"/>
      <c r="K154" s="119"/>
      <c r="L154" s="119"/>
      <c r="M154" s="119"/>
      <c r="N154" s="119"/>
      <c r="O154" s="119"/>
      <c r="P154" s="779"/>
      <c r="Q154" s="779"/>
      <c r="R154" s="779"/>
      <c r="S154" s="779"/>
      <c r="T154" s="780"/>
      <c r="U154" s="780"/>
      <c r="V154" s="780"/>
      <c r="W154" s="113"/>
      <c r="X154" s="112"/>
      <c r="Y154" s="112"/>
      <c r="Z154" s="111"/>
    </row>
    <row r="155" spans="1:26" ht="10.5" customHeight="1" x14ac:dyDescent="0.2">
      <c r="A155" s="547"/>
      <c r="B155" s="4"/>
      <c r="C155" s="4"/>
      <c r="D155" s="4"/>
      <c r="E155" s="4"/>
      <c r="F155" s="4"/>
      <c r="G155" s="4"/>
      <c r="H155" s="4"/>
      <c r="J155" s="119"/>
      <c r="K155" s="119"/>
      <c r="L155" s="119"/>
      <c r="M155" s="119"/>
      <c r="N155" s="119"/>
      <c r="O155" s="119"/>
      <c r="P155" s="779"/>
      <c r="Q155" s="779"/>
      <c r="R155" s="779"/>
      <c r="S155" s="779"/>
      <c r="T155" s="780"/>
      <c r="U155" s="780"/>
      <c r="V155" s="780"/>
      <c r="W155" s="113"/>
      <c r="X155" s="112"/>
      <c r="Y155" s="112"/>
      <c r="Z155" s="111"/>
    </row>
    <row r="156" spans="1:26" ht="10.5" customHeight="1" x14ac:dyDescent="0.2">
      <c r="A156" s="547"/>
      <c r="B156" s="4"/>
      <c r="C156" s="4"/>
      <c r="D156" s="4"/>
      <c r="E156" s="4"/>
      <c r="F156" s="4"/>
      <c r="G156" s="4"/>
      <c r="H156" s="4"/>
      <c r="J156" s="119"/>
      <c r="K156" s="119"/>
      <c r="L156" s="119"/>
      <c r="M156" s="119"/>
      <c r="N156" s="119"/>
      <c r="O156" s="119"/>
      <c r="P156" s="779"/>
      <c r="Q156" s="779"/>
      <c r="R156" s="779"/>
      <c r="S156" s="779"/>
      <c r="T156" s="780"/>
      <c r="U156" s="780"/>
      <c r="V156" s="780"/>
      <c r="W156" s="113"/>
      <c r="X156" s="112"/>
      <c r="Y156" s="112"/>
      <c r="Z156" s="111"/>
    </row>
    <row r="157" spans="1:26" ht="10.5" customHeight="1" x14ac:dyDescent="0.2">
      <c r="A157" s="547"/>
      <c r="B157" s="4"/>
      <c r="C157" s="4"/>
      <c r="D157" s="4"/>
      <c r="E157" s="4"/>
      <c r="F157" s="4"/>
      <c r="G157" s="4"/>
      <c r="H157" s="4"/>
      <c r="J157" s="119"/>
      <c r="K157" s="119"/>
      <c r="L157" s="119"/>
      <c r="M157" s="119"/>
      <c r="N157" s="119"/>
      <c r="O157" s="119"/>
      <c r="P157" s="779"/>
      <c r="Q157" s="779"/>
      <c r="R157" s="779"/>
      <c r="S157" s="779"/>
      <c r="T157" s="780"/>
      <c r="U157" s="780"/>
      <c r="V157" s="780"/>
      <c r="W157" s="113"/>
      <c r="X157" s="112"/>
      <c r="Y157" s="112"/>
      <c r="Z157" s="111"/>
    </row>
    <row r="158" spans="1:26" ht="10.5" customHeight="1" x14ac:dyDescent="0.2">
      <c r="A158" s="547"/>
      <c r="B158" s="4"/>
      <c r="C158" s="4"/>
      <c r="D158" s="4"/>
      <c r="E158" s="4"/>
      <c r="F158" s="4"/>
      <c r="G158" s="4"/>
      <c r="H158" s="4"/>
      <c r="J158" s="119"/>
      <c r="K158" s="119"/>
      <c r="L158" s="119"/>
      <c r="M158" s="119"/>
      <c r="N158" s="119"/>
      <c r="O158" s="119"/>
      <c r="P158" s="779"/>
      <c r="Q158" s="779"/>
      <c r="R158" s="779"/>
      <c r="S158" s="779"/>
      <c r="T158" s="780"/>
      <c r="U158" s="780"/>
      <c r="V158" s="780"/>
      <c r="W158" s="113"/>
      <c r="X158" s="112"/>
      <c r="Y158" s="112"/>
      <c r="Z158" s="111"/>
    </row>
    <row r="159" spans="1:26" ht="10.5" customHeight="1" x14ac:dyDescent="0.2">
      <c r="A159" s="547"/>
      <c r="B159" s="4"/>
      <c r="C159" s="4"/>
      <c r="D159" s="4"/>
      <c r="E159" s="4"/>
      <c r="F159" s="4"/>
      <c r="G159" s="4"/>
      <c r="H159" s="4"/>
      <c r="J159" s="119"/>
      <c r="K159" s="119"/>
      <c r="L159" s="119"/>
      <c r="M159" s="119"/>
      <c r="N159" s="119"/>
      <c r="O159" s="119"/>
      <c r="P159" s="779"/>
      <c r="Q159" s="779"/>
      <c r="R159" s="779"/>
      <c r="S159" s="779"/>
      <c r="T159" s="780"/>
      <c r="U159" s="780"/>
      <c r="V159" s="780"/>
      <c r="W159" s="113"/>
      <c r="X159" s="112"/>
      <c r="Y159" s="112"/>
      <c r="Z159" s="111"/>
    </row>
    <row r="160" spans="1:26" ht="10.5" customHeight="1" x14ac:dyDescent="0.2">
      <c r="A160" s="547"/>
      <c r="B160" s="4"/>
      <c r="C160" s="4"/>
      <c r="D160" s="4"/>
      <c r="E160" s="4"/>
      <c r="F160" s="4"/>
      <c r="G160" s="4"/>
      <c r="H160" s="4"/>
      <c r="J160" s="119"/>
      <c r="K160" s="119"/>
      <c r="L160" s="119"/>
      <c r="M160" s="119"/>
      <c r="N160" s="119"/>
      <c r="O160" s="119"/>
      <c r="P160" s="779"/>
      <c r="Q160" s="779"/>
      <c r="R160" s="779"/>
      <c r="S160" s="779"/>
      <c r="T160" s="780"/>
      <c r="U160" s="780"/>
      <c r="V160" s="780"/>
      <c r="W160" s="113"/>
      <c r="X160" s="112"/>
      <c r="Y160" s="112"/>
      <c r="Z160" s="111"/>
    </row>
    <row r="161" spans="1:26" ht="10.5" customHeight="1" x14ac:dyDescent="0.2">
      <c r="A161" s="547"/>
      <c r="B161" s="4"/>
      <c r="C161" s="4"/>
      <c r="D161" s="4"/>
      <c r="E161" s="4"/>
      <c r="F161" s="4"/>
      <c r="G161" s="4"/>
      <c r="H161" s="4"/>
      <c r="J161" s="119"/>
      <c r="K161" s="119"/>
      <c r="L161" s="119"/>
      <c r="M161" s="119"/>
      <c r="N161" s="119"/>
      <c r="O161" s="119"/>
      <c r="P161" s="779"/>
      <c r="Q161" s="779"/>
      <c r="R161" s="779"/>
      <c r="S161" s="779"/>
      <c r="T161" s="780"/>
      <c r="U161" s="780"/>
      <c r="V161" s="780"/>
      <c r="W161" s="113"/>
      <c r="X161" s="112"/>
      <c r="Y161" s="112"/>
      <c r="Z161" s="111"/>
    </row>
    <row r="162" spans="1:26" ht="10.5" customHeight="1" x14ac:dyDescent="0.2">
      <c r="A162" s="547"/>
      <c r="B162" s="4"/>
      <c r="C162" s="4"/>
      <c r="D162" s="4"/>
      <c r="E162" s="4"/>
      <c r="F162" s="4"/>
      <c r="G162" s="4"/>
      <c r="H162" s="4"/>
      <c r="J162" s="119"/>
      <c r="K162" s="119"/>
      <c r="L162" s="119"/>
      <c r="M162" s="119"/>
      <c r="N162" s="119"/>
      <c r="O162" s="119"/>
      <c r="P162" s="779"/>
      <c r="Q162" s="779"/>
      <c r="R162" s="779"/>
      <c r="S162" s="779"/>
      <c r="T162" s="780"/>
      <c r="U162" s="780"/>
      <c r="V162" s="780"/>
      <c r="W162" s="113"/>
      <c r="X162" s="112"/>
      <c r="Y162" s="112"/>
      <c r="Z162" s="111"/>
    </row>
    <row r="163" spans="1:26" ht="10.5" customHeight="1" x14ac:dyDescent="0.2">
      <c r="A163" s="538"/>
      <c r="B163" s="4"/>
      <c r="C163" s="4"/>
      <c r="D163" s="4"/>
      <c r="E163" s="4"/>
      <c r="F163" s="4"/>
      <c r="G163" s="4"/>
      <c r="H163" s="4"/>
      <c r="J163" s="119"/>
      <c r="K163" s="119"/>
      <c r="L163" s="119"/>
      <c r="M163" s="119"/>
      <c r="N163" s="119"/>
      <c r="O163" s="119"/>
      <c r="P163" s="779"/>
      <c r="Q163" s="779"/>
      <c r="R163" s="779"/>
      <c r="S163" s="779"/>
      <c r="T163" s="780"/>
      <c r="U163" s="780"/>
      <c r="V163" s="780"/>
      <c r="W163" s="113"/>
      <c r="X163" s="112"/>
      <c r="Y163" s="112"/>
      <c r="Z163" s="111"/>
    </row>
    <row r="164" spans="1:26" ht="10.5" customHeight="1" x14ac:dyDescent="0.2">
      <c r="A164" s="538"/>
      <c r="B164" s="4"/>
      <c r="C164" s="4"/>
      <c r="D164" s="4"/>
      <c r="E164" s="4"/>
      <c r="F164" s="4"/>
      <c r="G164" s="4"/>
      <c r="H164" s="4"/>
      <c r="J164" s="119"/>
      <c r="K164" s="119"/>
      <c r="L164" s="119"/>
      <c r="M164" s="119"/>
      <c r="N164" s="119"/>
      <c r="O164" s="119"/>
      <c r="P164" s="779"/>
      <c r="Q164" s="779"/>
      <c r="R164" s="779"/>
      <c r="S164" s="779"/>
      <c r="T164" s="780"/>
      <c r="U164" s="780"/>
      <c r="V164" s="780"/>
      <c r="W164" s="113"/>
      <c r="X164" s="112"/>
      <c r="Y164" s="112"/>
      <c r="Z164" s="111"/>
    </row>
    <row r="165" spans="1:26" ht="10.5" customHeight="1" x14ac:dyDescent="0.2">
      <c r="A165" s="538"/>
      <c r="B165" s="4"/>
      <c r="C165" s="4"/>
      <c r="D165" s="4"/>
      <c r="E165" s="4"/>
      <c r="F165" s="4"/>
      <c r="G165" s="4"/>
      <c r="H165" s="4"/>
      <c r="J165" s="119"/>
      <c r="K165" s="119"/>
      <c r="L165" s="119"/>
      <c r="M165" s="119"/>
      <c r="N165" s="119"/>
      <c r="O165" s="119"/>
      <c r="P165" s="779"/>
      <c r="Q165" s="779"/>
      <c r="R165" s="779"/>
      <c r="S165" s="779"/>
      <c r="T165" s="780"/>
      <c r="U165" s="780"/>
      <c r="V165" s="780"/>
      <c r="W165" s="113"/>
      <c r="X165" s="112"/>
      <c r="Y165" s="112"/>
      <c r="Z165" s="111"/>
    </row>
    <row r="166" spans="1:26" ht="10.5" customHeight="1" x14ac:dyDescent="0.2">
      <c r="A166" s="538"/>
      <c r="B166" s="4"/>
      <c r="C166" s="4"/>
      <c r="D166" s="4"/>
      <c r="E166" s="4"/>
      <c r="F166" s="4"/>
      <c r="G166" s="4"/>
      <c r="H166" s="4"/>
      <c r="J166" s="119"/>
      <c r="K166" s="119"/>
      <c r="L166" s="119"/>
      <c r="M166" s="119"/>
      <c r="N166" s="119"/>
      <c r="O166" s="119"/>
      <c r="P166" s="779"/>
      <c r="Q166" s="779"/>
      <c r="R166" s="779"/>
      <c r="S166" s="779"/>
      <c r="T166" s="780"/>
      <c r="U166" s="780"/>
      <c r="V166" s="780"/>
      <c r="W166" s="113"/>
      <c r="X166" s="112"/>
      <c r="Y166" s="112"/>
      <c r="Z166" s="111"/>
    </row>
    <row r="167" spans="1:26" ht="10.5" customHeight="1" x14ac:dyDescent="0.2">
      <c r="A167" s="538"/>
      <c r="B167" s="4"/>
      <c r="C167" s="4"/>
      <c r="D167" s="4"/>
      <c r="E167" s="4"/>
      <c r="F167" s="4"/>
      <c r="G167" s="4"/>
      <c r="H167" s="4"/>
      <c r="J167" s="119"/>
      <c r="K167" s="119"/>
      <c r="L167" s="119"/>
      <c r="M167" s="119"/>
      <c r="N167" s="119"/>
      <c r="O167" s="119"/>
      <c r="P167" s="779"/>
      <c r="Q167" s="779"/>
      <c r="R167" s="779"/>
      <c r="S167" s="779"/>
      <c r="T167" s="780"/>
      <c r="U167" s="780"/>
      <c r="V167" s="780"/>
      <c r="W167" s="113"/>
      <c r="X167" s="112"/>
      <c r="Y167" s="112"/>
      <c r="Z167" s="111"/>
    </row>
    <row r="168" spans="1:26" ht="10.5" customHeight="1" x14ac:dyDescent="0.2">
      <c r="A168" s="538"/>
      <c r="B168" s="4"/>
      <c r="C168" s="4"/>
      <c r="D168" s="4"/>
      <c r="E168" s="4"/>
      <c r="F168" s="4"/>
      <c r="G168" s="4"/>
      <c r="H168" s="4"/>
      <c r="J168" s="119"/>
      <c r="K168" s="119"/>
      <c r="L168" s="119"/>
      <c r="M168" s="119"/>
      <c r="N168" s="119"/>
      <c r="O168" s="119"/>
      <c r="P168" s="779"/>
      <c r="Q168" s="779"/>
      <c r="R168" s="779"/>
      <c r="S168" s="779"/>
      <c r="T168" s="780"/>
      <c r="U168" s="780"/>
      <c r="V168" s="780"/>
      <c r="W168" s="113"/>
      <c r="X168" s="112"/>
      <c r="Y168" s="112"/>
      <c r="Z168" s="111"/>
    </row>
    <row r="169" spans="1:26" ht="10.5" customHeight="1" x14ac:dyDescent="0.2">
      <c r="A169" s="538"/>
      <c r="B169" s="4"/>
      <c r="C169" s="4"/>
      <c r="D169" s="4"/>
      <c r="E169" s="4"/>
      <c r="F169" s="4"/>
      <c r="G169" s="4"/>
      <c r="H169" s="4"/>
      <c r="J169" s="119"/>
      <c r="K169" s="119"/>
      <c r="L169" s="119"/>
      <c r="M169" s="119"/>
      <c r="N169" s="119"/>
      <c r="O169" s="119"/>
      <c r="P169" s="779"/>
      <c r="Q169" s="779"/>
      <c r="R169" s="779"/>
      <c r="S169" s="779"/>
      <c r="T169" s="780"/>
      <c r="U169" s="780"/>
      <c r="V169" s="780"/>
      <c r="W169" s="113"/>
      <c r="X169" s="112"/>
      <c r="Y169" s="112"/>
      <c r="Z169" s="111"/>
    </row>
    <row r="170" spans="1:26" ht="10.5" customHeight="1" x14ac:dyDescent="0.2">
      <c r="A170" s="538"/>
      <c r="B170" s="4"/>
      <c r="C170" s="4"/>
      <c r="D170" s="4"/>
      <c r="E170" s="4"/>
      <c r="F170" s="4"/>
      <c r="G170" s="4"/>
      <c r="H170" s="4"/>
      <c r="J170" s="119"/>
      <c r="K170" s="119"/>
      <c r="L170" s="119"/>
      <c r="M170" s="119"/>
      <c r="N170" s="119"/>
      <c r="O170" s="119"/>
      <c r="P170" s="779"/>
      <c r="Q170" s="779"/>
      <c r="R170" s="779"/>
      <c r="S170" s="779"/>
      <c r="T170" s="780"/>
      <c r="U170" s="780"/>
      <c r="V170" s="780"/>
      <c r="W170" s="113"/>
      <c r="X170" s="112"/>
      <c r="Y170" s="112"/>
      <c r="Z170" s="111"/>
    </row>
    <row r="171" spans="1:26" ht="10.5" customHeight="1" x14ac:dyDescent="0.2">
      <c r="A171" s="538"/>
      <c r="B171" s="4"/>
      <c r="C171" s="4"/>
      <c r="D171" s="4"/>
      <c r="E171" s="4"/>
      <c r="F171" s="4"/>
      <c r="G171" s="4"/>
      <c r="H171" s="4"/>
      <c r="J171" s="119"/>
      <c r="K171" s="119"/>
      <c r="L171" s="119"/>
      <c r="M171" s="119"/>
      <c r="N171" s="119"/>
      <c r="O171" s="119"/>
      <c r="P171" s="779"/>
      <c r="Q171" s="779"/>
      <c r="R171" s="779"/>
      <c r="S171" s="779"/>
      <c r="T171" s="780"/>
      <c r="U171" s="780"/>
      <c r="V171" s="780"/>
      <c r="W171" s="113"/>
      <c r="X171" s="112"/>
      <c r="Y171" s="112"/>
      <c r="Z171" s="111"/>
    </row>
    <row r="172" spans="1:26" ht="10.5" customHeight="1" x14ac:dyDescent="0.2">
      <c r="A172" s="538"/>
      <c r="B172" s="4"/>
      <c r="C172" s="4"/>
      <c r="D172" s="4"/>
      <c r="E172" s="4"/>
      <c r="F172" s="4"/>
      <c r="G172" s="4"/>
      <c r="H172" s="4"/>
      <c r="J172" s="119"/>
      <c r="K172" s="119"/>
      <c r="L172" s="119"/>
      <c r="M172" s="119"/>
      <c r="N172" s="119"/>
      <c r="O172" s="119"/>
      <c r="P172" s="779"/>
      <c r="Q172" s="779"/>
      <c r="R172" s="779"/>
      <c r="S172" s="779"/>
      <c r="T172" s="780"/>
      <c r="U172" s="780"/>
      <c r="V172" s="780"/>
      <c r="W172" s="113"/>
      <c r="X172" s="112"/>
      <c r="Y172" s="112"/>
      <c r="Z172" s="111"/>
    </row>
    <row r="173" spans="1:26" ht="10.5" customHeight="1" x14ac:dyDescent="0.2">
      <c r="A173" s="538"/>
      <c r="B173" s="4"/>
      <c r="C173" s="4"/>
      <c r="D173" s="4"/>
      <c r="E173" s="4"/>
      <c r="F173" s="4"/>
      <c r="G173" s="4"/>
      <c r="H173" s="4"/>
      <c r="J173" s="119"/>
      <c r="K173" s="119"/>
      <c r="L173" s="119"/>
      <c r="M173" s="119"/>
      <c r="N173" s="119"/>
      <c r="O173" s="119"/>
      <c r="P173" s="779"/>
      <c r="Q173" s="779"/>
      <c r="R173" s="779"/>
      <c r="S173" s="779"/>
      <c r="T173" s="780"/>
      <c r="U173" s="780"/>
      <c r="V173" s="780"/>
      <c r="W173" s="113"/>
      <c r="X173" s="112"/>
      <c r="Y173" s="112"/>
      <c r="Z173" s="111"/>
    </row>
    <row r="174" spans="1:26" ht="10.5" customHeight="1" x14ac:dyDescent="0.2">
      <c r="A174" s="538"/>
      <c r="B174" s="4"/>
      <c r="C174" s="4"/>
      <c r="D174" s="4"/>
      <c r="E174" s="4"/>
      <c r="F174" s="4"/>
      <c r="G174" s="4"/>
      <c r="H174" s="4"/>
      <c r="J174" s="119"/>
      <c r="K174" s="119"/>
      <c r="L174" s="119"/>
      <c r="M174" s="119"/>
      <c r="N174" s="119"/>
      <c r="O174" s="119"/>
      <c r="P174" s="779"/>
      <c r="Q174" s="779"/>
      <c r="R174" s="779"/>
      <c r="S174" s="779"/>
      <c r="T174" s="780"/>
      <c r="U174" s="780"/>
      <c r="V174" s="780"/>
      <c r="W174" s="113"/>
      <c r="X174" s="112"/>
      <c r="Y174" s="112"/>
      <c r="Z174" s="111"/>
    </row>
    <row r="175" spans="1:26" ht="10.5" customHeight="1" x14ac:dyDescent="0.2">
      <c r="A175" s="538"/>
      <c r="B175" s="4"/>
      <c r="C175" s="4"/>
      <c r="D175" s="4"/>
      <c r="E175" s="4"/>
      <c r="F175" s="4"/>
      <c r="G175" s="4"/>
      <c r="H175" s="4"/>
      <c r="J175" s="119"/>
      <c r="K175" s="119"/>
      <c r="L175" s="119"/>
      <c r="M175" s="119"/>
      <c r="N175" s="119"/>
      <c r="O175" s="119"/>
      <c r="P175" s="779"/>
      <c r="Q175" s="779"/>
      <c r="R175" s="779"/>
      <c r="S175" s="779"/>
      <c r="T175" s="780"/>
      <c r="U175" s="780"/>
      <c r="V175" s="780"/>
      <c r="W175" s="113"/>
      <c r="X175" s="112"/>
      <c r="Y175" s="112"/>
      <c r="Z175" s="111"/>
    </row>
    <row r="176" spans="1:26" ht="10.5" customHeight="1" x14ac:dyDescent="0.2">
      <c r="A176" s="538"/>
      <c r="B176" s="4"/>
      <c r="C176" s="4"/>
      <c r="D176" s="4"/>
      <c r="E176" s="4"/>
      <c r="F176" s="4"/>
      <c r="G176" s="4"/>
      <c r="H176" s="4"/>
      <c r="J176" s="119"/>
      <c r="K176" s="119"/>
      <c r="L176" s="119"/>
      <c r="M176" s="119"/>
      <c r="N176" s="119"/>
      <c r="O176" s="119"/>
      <c r="P176" s="779"/>
      <c r="Q176" s="779"/>
      <c r="R176" s="779"/>
      <c r="S176" s="779"/>
      <c r="T176" s="780"/>
      <c r="U176" s="780"/>
      <c r="V176" s="780"/>
      <c r="W176" s="113"/>
      <c r="X176" s="112"/>
      <c r="Y176" s="112"/>
      <c r="Z176" s="111"/>
    </row>
    <row r="177" spans="1:26" ht="10.5" customHeight="1" x14ac:dyDescent="0.2">
      <c r="A177" s="538"/>
      <c r="B177" s="4"/>
      <c r="C177" s="4"/>
      <c r="D177" s="4"/>
      <c r="E177" s="4"/>
      <c r="F177" s="4"/>
      <c r="G177" s="4"/>
      <c r="H177" s="4"/>
      <c r="J177" s="119"/>
      <c r="K177" s="119"/>
      <c r="L177" s="119"/>
      <c r="M177" s="119"/>
      <c r="N177" s="119"/>
      <c r="O177" s="119"/>
      <c r="P177" s="779"/>
      <c r="Q177" s="779"/>
      <c r="R177" s="779"/>
      <c r="S177" s="779"/>
      <c r="T177" s="780"/>
      <c r="U177" s="780"/>
      <c r="V177" s="780"/>
      <c r="W177" s="113"/>
      <c r="X177" s="112"/>
      <c r="Y177" s="112"/>
      <c r="Z177" s="111"/>
    </row>
    <row r="178" spans="1:26" ht="10.5" customHeight="1" x14ac:dyDescent="0.2">
      <c r="A178" s="538"/>
      <c r="B178" s="4"/>
      <c r="C178" s="4"/>
      <c r="D178" s="4"/>
      <c r="E178" s="4"/>
      <c r="F178" s="4"/>
      <c r="G178" s="4"/>
      <c r="H178" s="4"/>
      <c r="J178" s="119"/>
      <c r="K178" s="119"/>
      <c r="L178" s="119"/>
      <c r="M178" s="119"/>
      <c r="N178" s="119"/>
      <c r="O178" s="119"/>
      <c r="P178" s="779"/>
      <c r="Q178" s="779"/>
      <c r="R178" s="779"/>
      <c r="S178" s="779"/>
      <c r="T178" s="780"/>
      <c r="U178" s="780"/>
      <c r="V178" s="780"/>
      <c r="W178" s="113"/>
      <c r="X178" s="112"/>
      <c r="Y178" s="112"/>
      <c r="Z178" s="111"/>
    </row>
    <row r="179" spans="1:26" ht="10.5" customHeight="1" x14ac:dyDescent="0.2">
      <c r="A179" s="538"/>
      <c r="B179" s="4"/>
      <c r="C179" s="4"/>
      <c r="D179" s="4"/>
      <c r="E179" s="4"/>
      <c r="F179" s="4"/>
      <c r="G179" s="4"/>
      <c r="H179" s="4"/>
      <c r="J179" s="119"/>
      <c r="K179" s="119"/>
      <c r="L179" s="119"/>
      <c r="M179" s="119"/>
      <c r="N179" s="119"/>
      <c r="O179" s="119"/>
      <c r="P179" s="779"/>
      <c r="Q179" s="779"/>
      <c r="R179" s="779"/>
      <c r="S179" s="779"/>
      <c r="T179" s="780"/>
      <c r="U179" s="780"/>
      <c r="V179" s="780"/>
      <c r="W179" s="113"/>
      <c r="X179" s="112"/>
      <c r="Y179" s="112"/>
      <c r="Z179" s="111"/>
    </row>
    <row r="180" spans="1:26" ht="10.5" customHeight="1" x14ac:dyDescent="0.2">
      <c r="A180" s="538"/>
      <c r="B180" s="4"/>
      <c r="C180" s="4"/>
      <c r="D180" s="4"/>
      <c r="E180" s="4"/>
      <c r="F180" s="4"/>
      <c r="G180" s="4"/>
      <c r="H180" s="4"/>
      <c r="J180" s="119"/>
      <c r="K180" s="119"/>
      <c r="L180" s="119"/>
      <c r="M180" s="119"/>
      <c r="N180" s="119"/>
      <c r="O180" s="119"/>
      <c r="P180" s="779"/>
      <c r="Q180" s="779"/>
      <c r="R180" s="779"/>
      <c r="S180" s="779"/>
      <c r="T180" s="780"/>
      <c r="U180" s="780"/>
      <c r="V180" s="780"/>
      <c r="W180" s="113"/>
      <c r="X180" s="112"/>
      <c r="Y180" s="112"/>
      <c r="Z180" s="111"/>
    </row>
    <row r="181" spans="1:26" ht="10.5" customHeight="1" x14ac:dyDescent="0.2">
      <c r="A181" s="538"/>
      <c r="B181" s="4"/>
      <c r="C181" s="4"/>
      <c r="D181" s="4"/>
      <c r="E181" s="4"/>
      <c r="F181" s="4"/>
      <c r="G181" s="4"/>
      <c r="H181" s="4"/>
      <c r="J181" s="119"/>
      <c r="K181" s="119"/>
      <c r="L181" s="119"/>
      <c r="M181" s="119"/>
      <c r="N181" s="119"/>
      <c r="O181" s="119"/>
      <c r="P181" s="779"/>
      <c r="Q181" s="779"/>
      <c r="R181" s="779"/>
      <c r="S181" s="779"/>
      <c r="T181" s="780"/>
      <c r="U181" s="780"/>
      <c r="V181" s="780"/>
      <c r="W181" s="113"/>
      <c r="X181" s="112"/>
      <c r="Y181" s="112"/>
      <c r="Z181" s="111"/>
    </row>
    <row r="182" spans="1:26" ht="10.5" customHeight="1" x14ac:dyDescent="0.2">
      <c r="A182" s="538"/>
      <c r="B182" s="4"/>
      <c r="C182" s="4"/>
      <c r="D182" s="4"/>
      <c r="E182" s="4"/>
      <c r="F182" s="4"/>
      <c r="G182" s="4"/>
      <c r="H182" s="4"/>
      <c r="J182" s="119"/>
      <c r="K182" s="119"/>
      <c r="L182" s="119"/>
      <c r="M182" s="119"/>
      <c r="N182" s="119"/>
      <c r="O182" s="119"/>
      <c r="P182" s="779"/>
      <c r="Q182" s="779"/>
      <c r="R182" s="779"/>
      <c r="S182" s="779"/>
      <c r="T182" s="780"/>
      <c r="U182" s="780"/>
      <c r="V182" s="780"/>
      <c r="W182" s="113"/>
      <c r="X182" s="112"/>
      <c r="Y182" s="112"/>
      <c r="Z182" s="111"/>
    </row>
    <row r="183" spans="1:26" ht="10.5" customHeight="1" x14ac:dyDescent="0.2">
      <c r="A183" s="538"/>
      <c r="B183" s="4"/>
      <c r="C183" s="4"/>
      <c r="D183" s="4"/>
      <c r="E183" s="4"/>
      <c r="F183" s="4"/>
      <c r="G183" s="4"/>
      <c r="H183" s="4"/>
      <c r="J183" s="119"/>
      <c r="K183" s="119"/>
      <c r="L183" s="119"/>
      <c r="M183" s="119"/>
      <c r="N183" s="119"/>
      <c r="O183" s="119"/>
      <c r="P183" s="779"/>
      <c r="Q183" s="779"/>
      <c r="R183" s="779"/>
      <c r="S183" s="779"/>
      <c r="T183" s="780"/>
      <c r="U183" s="780"/>
      <c r="V183" s="780"/>
      <c r="W183" s="113"/>
      <c r="X183" s="112"/>
      <c r="Y183" s="112"/>
      <c r="Z183" s="111"/>
    </row>
    <row r="184" spans="1:26" ht="10.5" customHeight="1" x14ac:dyDescent="0.2">
      <c r="A184" s="538"/>
      <c r="B184" s="4"/>
      <c r="C184" s="4"/>
      <c r="D184" s="4"/>
      <c r="E184" s="4"/>
      <c r="F184" s="4"/>
      <c r="G184" s="4"/>
      <c r="H184" s="4"/>
      <c r="J184" s="119"/>
      <c r="K184" s="119"/>
      <c r="L184" s="119"/>
      <c r="M184" s="119"/>
      <c r="N184" s="119"/>
      <c r="O184" s="119"/>
      <c r="P184" s="779"/>
      <c r="Q184" s="779"/>
      <c r="R184" s="779"/>
      <c r="S184" s="779"/>
      <c r="T184" s="780"/>
      <c r="U184" s="780"/>
      <c r="V184" s="780"/>
      <c r="W184" s="113"/>
      <c r="X184" s="112"/>
      <c r="Y184" s="112"/>
      <c r="Z184" s="111"/>
    </row>
    <row r="185" spans="1:26" ht="10.5" customHeight="1" x14ac:dyDescent="0.2">
      <c r="A185" s="538"/>
      <c r="B185" s="4"/>
      <c r="C185" s="4"/>
      <c r="D185" s="4"/>
      <c r="E185" s="4"/>
      <c r="F185" s="4"/>
      <c r="G185" s="4"/>
      <c r="H185" s="4"/>
      <c r="J185" s="119"/>
      <c r="K185" s="119"/>
      <c r="L185" s="119"/>
      <c r="M185" s="119"/>
      <c r="N185" s="119"/>
      <c r="O185" s="119"/>
      <c r="P185" s="779"/>
      <c r="Q185" s="779"/>
      <c r="R185" s="779"/>
      <c r="S185" s="779"/>
      <c r="T185" s="780"/>
      <c r="U185" s="780"/>
      <c r="V185" s="780"/>
      <c r="W185" s="113"/>
      <c r="X185" s="112"/>
      <c r="Y185" s="112"/>
      <c r="Z185" s="111"/>
    </row>
    <row r="186" spans="1:26" ht="10.5" customHeight="1" x14ac:dyDescent="0.2">
      <c r="A186" s="538"/>
      <c r="B186" s="4"/>
      <c r="C186" s="4"/>
      <c r="D186" s="4"/>
      <c r="E186" s="4"/>
      <c r="F186" s="4"/>
      <c r="G186" s="4"/>
      <c r="H186" s="4"/>
      <c r="J186" s="119"/>
      <c r="K186" s="119"/>
      <c r="L186" s="119"/>
      <c r="M186" s="119"/>
      <c r="N186" s="119"/>
      <c r="O186" s="119"/>
      <c r="P186" s="779"/>
      <c r="Q186" s="779"/>
      <c r="R186" s="779"/>
      <c r="S186" s="779"/>
      <c r="T186" s="780"/>
      <c r="U186" s="780"/>
      <c r="V186" s="780"/>
      <c r="W186" s="113"/>
      <c r="X186" s="112"/>
      <c r="Y186" s="112"/>
      <c r="Z186" s="111"/>
    </row>
    <row r="187" spans="1:26" ht="10.5" customHeight="1" x14ac:dyDescent="0.2">
      <c r="A187" s="538"/>
      <c r="B187" s="4"/>
      <c r="C187" s="4"/>
      <c r="D187" s="4"/>
      <c r="E187" s="4"/>
      <c r="F187" s="4"/>
      <c r="G187" s="4"/>
      <c r="H187" s="4"/>
      <c r="J187" s="119"/>
      <c r="K187" s="119"/>
      <c r="L187" s="119"/>
      <c r="M187" s="119"/>
      <c r="N187" s="119"/>
      <c r="O187" s="119"/>
      <c r="P187" s="779"/>
      <c r="Q187" s="779"/>
      <c r="R187" s="779"/>
      <c r="S187" s="779"/>
      <c r="T187" s="780"/>
      <c r="U187" s="780"/>
      <c r="V187" s="780"/>
      <c r="W187" s="113"/>
      <c r="X187" s="112"/>
      <c r="Y187" s="112"/>
      <c r="Z187" s="111"/>
    </row>
    <row r="188" spans="1:26" ht="10.5" customHeight="1" x14ac:dyDescent="0.2">
      <c r="A188" s="538"/>
      <c r="B188" s="4"/>
      <c r="C188" s="4"/>
      <c r="D188" s="4"/>
      <c r="E188" s="4"/>
      <c r="F188" s="4"/>
      <c r="G188" s="4"/>
      <c r="H188" s="4"/>
      <c r="J188" s="119"/>
      <c r="K188" s="119"/>
      <c r="L188" s="119"/>
      <c r="M188" s="119"/>
      <c r="N188" s="119"/>
      <c r="O188" s="119"/>
      <c r="P188" s="779"/>
      <c r="Q188" s="779"/>
      <c r="R188" s="779"/>
      <c r="S188" s="779"/>
      <c r="T188" s="780"/>
      <c r="U188" s="780"/>
      <c r="V188" s="780"/>
      <c r="W188" s="113"/>
      <c r="X188" s="112"/>
      <c r="Y188" s="112"/>
      <c r="Z188" s="111"/>
    </row>
    <row r="189" spans="1:26" ht="10.5" hidden="1" customHeight="1" x14ac:dyDescent="0.2">
      <c r="A189" s="547"/>
      <c r="B189" s="4"/>
      <c r="C189" s="4"/>
      <c r="D189" s="4"/>
      <c r="E189" s="4"/>
      <c r="F189" s="4"/>
      <c r="G189" s="4"/>
      <c r="H189" s="4"/>
      <c r="I189" s="129"/>
      <c r="J189" s="119"/>
      <c r="K189" s="119"/>
      <c r="L189" s="119"/>
      <c r="M189" s="119"/>
      <c r="N189" s="119"/>
      <c r="O189" s="119"/>
      <c r="P189" s="779"/>
      <c r="Q189" s="779"/>
      <c r="R189" s="779"/>
      <c r="S189" s="779"/>
      <c r="T189" s="780"/>
      <c r="U189" s="780"/>
      <c r="V189" s="780"/>
      <c r="W189" s="113"/>
      <c r="X189" s="112"/>
      <c r="Y189" s="112"/>
      <c r="Z189" s="111"/>
    </row>
    <row r="190" spans="1:26" ht="24" hidden="1" customHeight="1" x14ac:dyDescent="0.2">
      <c r="A190" s="275" t="s">
        <v>82</v>
      </c>
      <c r="B190" s="1017" t="s">
        <v>80</v>
      </c>
      <c r="C190" s="1017"/>
      <c r="D190" s="1017"/>
      <c r="E190" s="1017"/>
      <c r="F190" s="1017"/>
      <c r="G190" s="1017"/>
      <c r="H190" s="1017"/>
      <c r="J190" s="119"/>
      <c r="K190" s="119"/>
      <c r="L190" s="119"/>
      <c r="M190" s="119"/>
      <c r="N190" s="119"/>
      <c r="O190" s="119"/>
      <c r="P190" s="779"/>
      <c r="Q190" s="779"/>
      <c r="R190" s="779"/>
      <c r="S190" s="779"/>
      <c r="T190" s="780"/>
      <c r="U190" s="780"/>
      <c r="V190" s="780"/>
      <c r="W190" s="113"/>
      <c r="X190" s="112"/>
      <c r="Y190" s="112"/>
      <c r="Z190" s="111"/>
    </row>
    <row r="191" spans="1:26" ht="45" hidden="1" customHeight="1" x14ac:dyDescent="0.2">
      <c r="A191" s="1051" t="s">
        <v>85</v>
      </c>
      <c r="B191" s="1051"/>
      <c r="C191" s="1051"/>
      <c r="D191" s="1051"/>
      <c r="E191" s="1051"/>
      <c r="F191" s="1051"/>
      <c r="G191" s="1051"/>
      <c r="H191" s="1051"/>
      <c r="J191" s="512" t="str">
        <f>IF(AND(OR(K53,K54,L54,M54,N54,O54,K55)=TRUE,OR(K58,K40,K41,L41,M41,N41,K45,L45,M45,N45,K59,K48,L48,K50,L50,M50)=TRUE),"ja",IF(AND(OR(K53,K54,L54,M54,N54,O54,K55)=TRUE,OR(L58,M58)=TRUE,L62=1),"ja",IF(OR(K53,K54,L54,M54,N54,K55,O54=TRUE),"nein",IF(AND(OR(K45,L45,M45,N45)=TRUE,L44=0,OR(AND(OR(L58,M58=TRUE),L62=1),K40,K58,K41,L41,M41,N41,K59,K48,L48,K50,L50,M50)=TRUE),"ja",IF(AND(OR(K45,L45,M45,N45=TRUE),L44=0),"nein",IF(K58=TRUE,"nein",IF(AND(L44=1,OR(K45,L45,M45,N45=TRUE)),"nein"," ")))))))</f>
        <v xml:space="preserve"> </v>
      </c>
      <c r="K191" s="119"/>
      <c r="L191" s="119"/>
      <c r="M191" s="119"/>
      <c r="N191" s="119"/>
      <c r="O191" s="119"/>
      <c r="P191" s="779"/>
      <c r="Q191" s="779"/>
      <c r="R191" s="779"/>
      <c r="S191" s="779"/>
      <c r="T191" s="780"/>
      <c r="U191" s="780"/>
      <c r="V191" s="780"/>
      <c r="W191" s="113"/>
      <c r="X191" s="112"/>
      <c r="Y191" s="112"/>
      <c r="Z191" s="111"/>
    </row>
    <row r="192" spans="1:26" ht="7.5" hidden="1" customHeight="1" x14ac:dyDescent="0.2">
      <c r="A192" s="547"/>
      <c r="B192" s="553"/>
      <c r="C192" s="553"/>
      <c r="D192" s="553"/>
      <c r="E192" s="553"/>
      <c r="F192" s="553"/>
      <c r="G192" s="553"/>
      <c r="H192" s="553"/>
      <c r="J192" s="119"/>
      <c r="K192" s="119"/>
      <c r="L192" s="119"/>
      <c r="M192" s="119"/>
      <c r="N192" s="119"/>
      <c r="O192" s="119"/>
      <c r="P192" s="779"/>
      <c r="Q192" s="779"/>
      <c r="R192" s="779"/>
      <c r="S192" s="779"/>
      <c r="T192" s="780"/>
      <c r="U192" s="780"/>
      <c r="V192" s="780"/>
      <c r="W192" s="113"/>
      <c r="X192" s="112"/>
      <c r="Y192" s="112"/>
      <c r="Z192" s="111"/>
    </row>
    <row r="193" spans="1:26" ht="46.5" hidden="1" customHeight="1" x14ac:dyDescent="0.2">
      <c r="A193" s="1009" t="s">
        <v>88</v>
      </c>
      <c r="B193" s="1009"/>
      <c r="C193" s="1009"/>
      <c r="D193" s="1009"/>
      <c r="E193" s="1009"/>
      <c r="F193" s="1009"/>
      <c r="G193" s="1009"/>
      <c r="H193" s="1009"/>
      <c r="S193" s="779"/>
      <c r="T193" s="780"/>
      <c r="U193" s="780"/>
      <c r="V193" s="780"/>
      <c r="W193" s="113"/>
      <c r="X193" s="112"/>
      <c r="Y193" s="112"/>
      <c r="Z193" s="111"/>
    </row>
    <row r="194" spans="1:26" ht="10.5" hidden="1" customHeight="1" x14ac:dyDescent="0.2">
      <c r="A194" s="550"/>
      <c r="B194" s="550"/>
      <c r="C194" s="550"/>
      <c r="D194" s="550"/>
      <c r="E194" s="550"/>
      <c r="F194" s="550"/>
      <c r="G194" s="550"/>
      <c r="H194" s="550"/>
      <c r="S194" s="779"/>
      <c r="T194" s="780"/>
      <c r="U194" s="780"/>
      <c r="V194" s="780"/>
      <c r="W194" s="113"/>
      <c r="X194" s="112"/>
      <c r="Y194" s="112"/>
      <c r="Z194" s="111"/>
    </row>
    <row r="195" spans="1:26" ht="10.5" hidden="1" customHeight="1" x14ac:dyDescent="0.2">
      <c r="A195" s="547"/>
      <c r="B195" s="553"/>
      <c r="C195" s="553"/>
      <c r="D195" s="553"/>
      <c r="E195" s="649" t="s">
        <v>92</v>
      </c>
      <c r="F195" s="649" t="s">
        <v>93</v>
      </c>
      <c r="G195" s="553"/>
      <c r="H195" s="553"/>
      <c r="S195" s="779"/>
      <c r="T195" s="780"/>
      <c r="U195" s="780"/>
      <c r="V195" s="780"/>
      <c r="W195" s="113"/>
      <c r="X195" s="112"/>
      <c r="Y195" s="112"/>
      <c r="Z195" s="111"/>
    </row>
    <row r="196" spans="1:26" ht="16.5" hidden="1" customHeight="1" x14ac:dyDescent="0.2">
      <c r="A196" s="547"/>
      <c r="B196" s="4"/>
      <c r="C196" s="4"/>
      <c r="D196" s="548" t="s">
        <v>89</v>
      </c>
      <c r="E196" s="650" t="str">
        <f>IF(K73="ja",160," ")</f>
        <v xml:space="preserve"> </v>
      </c>
      <c r="F196" s="651" t="str">
        <f>IF(K73="ja",G29," ")</f>
        <v xml:space="preserve"> </v>
      </c>
      <c r="G196" s="67" t="s">
        <v>94</v>
      </c>
      <c r="H196" s="4"/>
      <c r="S196" s="779"/>
      <c r="T196" s="780"/>
      <c r="U196" s="780"/>
      <c r="V196" s="780"/>
      <c r="W196" s="113"/>
      <c r="X196" s="112"/>
      <c r="Y196" s="112"/>
      <c r="Z196" s="111"/>
    </row>
    <row r="197" spans="1:26" ht="16.5" hidden="1" customHeight="1" x14ac:dyDescent="0.35">
      <c r="A197" s="652" t="s">
        <v>157</v>
      </c>
      <c r="B197" s="257"/>
      <c r="C197" s="4"/>
      <c r="D197" s="548" t="s">
        <v>158</v>
      </c>
      <c r="E197" s="653" t="str">
        <f>IF(K73="ja",24," ")</f>
        <v xml:space="preserve"> </v>
      </c>
      <c r="F197" s="654" t="str">
        <f>IF(K73="ja",G31," ")</f>
        <v xml:space="preserve"> </v>
      </c>
      <c r="G197" s="67" t="s">
        <v>95</v>
      </c>
      <c r="H197" s="4"/>
      <c r="S197" s="779"/>
      <c r="T197" s="780"/>
      <c r="U197" s="780"/>
      <c r="V197" s="780"/>
      <c r="W197" s="113"/>
      <c r="X197" s="112"/>
      <c r="Y197" s="112"/>
      <c r="Z197" s="111"/>
    </row>
    <row r="198" spans="1:26" ht="16.5" hidden="1" customHeight="1" x14ac:dyDescent="0.2">
      <c r="A198" s="655" t="str">
        <f>IF(AND(K73="ja",M33="ja"),G37,IF(AND(K73="ja",M33="nein"),0.75,""))</f>
        <v/>
      </c>
      <c r="B198" s="258" t="str">
        <f>IF(AND(L73="ja",M33="ja"),D37,IF(AND(L73="ja",M33="nein"),G33,""))</f>
        <v/>
      </c>
      <c r="C198" s="4"/>
      <c r="D198" s="548" t="str">
        <f>IF(M33="ja","Endenergiebedarf:",IF(M33="nein","          Gesamtenergieeffizienz-Faktor:",""))</f>
        <v xml:space="preserve">          Gesamtenergieeffizienz-Faktor:</v>
      </c>
      <c r="E198" s="242" t="str">
        <f>IF(AND(K73="ja",M33="ja"),CONCATENATE(G37,K37),IF(AND(K73="ja",M33="nein"),0.75,""))</f>
        <v/>
      </c>
      <c r="F198" s="242" t="str">
        <f>IF(AND(L73="ja",M33="ja"),CONCATENATE(D37,K37),IF(AND(L73="ja",M33="nein"),G33,""))</f>
        <v/>
      </c>
      <c r="G198" s="67" t="str">
        <f>IF(M33="ja","EEB",IF(M33="nein","fGEE",""))</f>
        <v>fGEE</v>
      </c>
      <c r="H198" s="4"/>
      <c r="S198" s="779"/>
      <c r="T198" s="780"/>
      <c r="U198" s="780"/>
      <c r="V198" s="780"/>
      <c r="W198" s="113"/>
      <c r="X198" s="112"/>
      <c r="Y198" s="112"/>
      <c r="Z198" s="111"/>
    </row>
    <row r="199" spans="1:26" ht="23.25" hidden="1" customHeight="1" x14ac:dyDescent="0.2">
      <c r="A199" s="547"/>
      <c r="B199" s="4"/>
      <c r="C199" s="4"/>
      <c r="D199" s="548"/>
      <c r="E199" s="242"/>
      <c r="F199" s="242"/>
      <c r="G199" s="67"/>
      <c r="H199" s="4"/>
      <c r="S199" s="779"/>
      <c r="T199" s="780"/>
      <c r="U199" s="780"/>
      <c r="V199" s="780"/>
      <c r="W199" s="113"/>
      <c r="X199" s="112"/>
      <c r="Y199" s="112"/>
      <c r="Z199" s="111"/>
    </row>
    <row r="200" spans="1:26" ht="16.5" hidden="1" customHeight="1" x14ac:dyDescent="0.2">
      <c r="A200" s="547"/>
      <c r="B200" s="1050" t="str">
        <f>D196</f>
        <v>Primärenergiebedarf:</v>
      </c>
      <c r="C200" s="1050"/>
      <c r="D200" s="1050"/>
      <c r="E200" s="244" t="str">
        <f>D197</f>
        <v xml:space="preserve">       Kohlendioxidemissionen:</v>
      </c>
      <c r="F200" s="244"/>
      <c r="G200" s="243" t="str">
        <f>D198</f>
        <v xml:space="preserve">          Gesamtenergieeffizienz-Faktor:</v>
      </c>
      <c r="H200" s="244"/>
      <c r="I200" s="129"/>
      <c r="J200" s="119"/>
      <c r="K200" s="241"/>
      <c r="L200" s="420"/>
      <c r="M200" s="119"/>
      <c r="N200" s="119"/>
      <c r="O200" s="119"/>
      <c r="P200" s="779"/>
      <c r="Q200" s="779"/>
      <c r="R200" s="779"/>
      <c r="S200" s="779"/>
      <c r="T200" s="780"/>
      <c r="U200" s="780"/>
      <c r="V200" s="780"/>
      <c r="W200" s="113"/>
      <c r="X200" s="112"/>
      <c r="Y200" s="112"/>
      <c r="Z200" s="111"/>
    </row>
    <row r="201" spans="1:26" ht="27.75" hidden="1" customHeight="1" x14ac:dyDescent="0.2">
      <c r="A201" s="547"/>
      <c r="B201" s="1049"/>
      <c r="C201" s="1049"/>
      <c r="D201" s="1049"/>
      <c r="E201" s="1049"/>
      <c r="F201" s="1049"/>
      <c r="G201" s="1049"/>
      <c r="H201" s="1049"/>
      <c r="J201" s="119"/>
      <c r="K201" s="119"/>
      <c r="L201" s="119"/>
      <c r="M201" s="119"/>
      <c r="N201" s="119"/>
      <c r="O201" s="119"/>
      <c r="P201" s="779"/>
      <c r="Q201" s="779"/>
      <c r="R201" s="779"/>
      <c r="S201" s="779"/>
      <c r="T201" s="780"/>
      <c r="U201" s="780"/>
      <c r="V201" s="780"/>
      <c r="W201" s="113"/>
      <c r="X201" s="112"/>
      <c r="Y201" s="112"/>
      <c r="Z201" s="111"/>
    </row>
    <row r="202" spans="1:26" ht="27.75" hidden="1" customHeight="1" x14ac:dyDescent="0.2">
      <c r="A202" s="547"/>
      <c r="B202" s="546"/>
      <c r="C202" s="546"/>
      <c r="D202" s="546"/>
      <c r="E202" s="546"/>
      <c r="F202" s="546"/>
      <c r="G202" s="546"/>
      <c r="H202" s="546"/>
      <c r="J202" s="119"/>
      <c r="K202" s="119"/>
      <c r="L202" s="119"/>
      <c r="M202" s="119"/>
      <c r="N202" s="119"/>
      <c r="O202" s="119"/>
      <c r="P202" s="779"/>
      <c r="Q202" s="779"/>
      <c r="R202" s="779"/>
      <c r="S202" s="779"/>
      <c r="T202" s="780"/>
      <c r="U202" s="780"/>
      <c r="V202" s="780"/>
      <c r="W202" s="113"/>
      <c r="X202" s="112"/>
      <c r="Y202" s="112"/>
      <c r="Z202" s="111"/>
    </row>
    <row r="203" spans="1:26" ht="27.75" hidden="1" customHeight="1" x14ac:dyDescent="0.2">
      <c r="A203" s="547"/>
      <c r="B203" s="546"/>
      <c r="C203" s="546"/>
      <c r="D203" s="546"/>
      <c r="E203" s="546"/>
      <c r="F203" s="546"/>
      <c r="G203" s="546"/>
      <c r="H203" s="546"/>
      <c r="J203" s="119"/>
      <c r="K203" s="119"/>
      <c r="L203" s="119"/>
      <c r="M203" s="119"/>
      <c r="N203" s="119"/>
      <c r="O203" s="119"/>
      <c r="P203" s="779"/>
      <c r="Q203" s="779"/>
      <c r="R203" s="779"/>
      <c r="S203" s="779"/>
      <c r="T203" s="780"/>
      <c r="U203" s="780"/>
      <c r="V203" s="780"/>
      <c r="W203" s="113"/>
      <c r="X203" s="112"/>
      <c r="Y203" s="112"/>
      <c r="Z203" s="111"/>
    </row>
    <row r="204" spans="1:26" ht="27.75" hidden="1" customHeight="1" x14ac:dyDescent="0.2">
      <c r="A204" s="547"/>
      <c r="B204" s="546"/>
      <c r="C204" s="546"/>
      <c r="D204" s="546"/>
      <c r="E204" s="546"/>
      <c r="F204" s="546"/>
      <c r="G204" s="546"/>
      <c r="H204" s="546"/>
      <c r="J204" s="119"/>
      <c r="K204" s="119"/>
      <c r="L204" s="119"/>
      <c r="M204" s="119"/>
      <c r="N204" s="119"/>
      <c r="O204" s="119"/>
      <c r="P204" s="779"/>
      <c r="Q204" s="779"/>
      <c r="R204" s="779"/>
      <c r="S204" s="779"/>
      <c r="T204" s="780"/>
      <c r="U204" s="780"/>
      <c r="V204" s="780"/>
      <c r="W204" s="113"/>
      <c r="X204" s="112"/>
      <c r="Y204" s="112"/>
      <c r="Z204" s="111"/>
    </row>
    <row r="205" spans="1:26" ht="27.75" hidden="1" customHeight="1" x14ac:dyDescent="0.2">
      <c r="A205" s="547"/>
      <c r="B205" s="546"/>
      <c r="C205" s="546"/>
      <c r="D205" s="546"/>
      <c r="E205" s="546"/>
      <c r="F205" s="546"/>
      <c r="G205" s="546"/>
      <c r="H205" s="546"/>
      <c r="J205" s="119"/>
      <c r="K205" s="119"/>
      <c r="L205" s="119"/>
      <c r="M205" s="119"/>
      <c r="N205" s="119"/>
      <c r="O205" s="119"/>
      <c r="P205" s="779"/>
      <c r="Q205" s="779"/>
      <c r="R205" s="779"/>
      <c r="S205" s="779"/>
      <c r="T205" s="780"/>
      <c r="U205" s="780"/>
      <c r="V205" s="780"/>
      <c r="W205" s="113"/>
      <c r="X205" s="112"/>
      <c r="Y205" s="112"/>
      <c r="Z205" s="111"/>
    </row>
    <row r="206" spans="1:26" ht="27.75" hidden="1" customHeight="1" x14ac:dyDescent="0.2">
      <c r="A206" s="547"/>
      <c r="B206" s="546"/>
      <c r="C206" s="546"/>
      <c r="D206" s="546"/>
      <c r="E206" s="546"/>
      <c r="F206" s="546"/>
      <c r="G206" s="546"/>
      <c r="H206" s="546"/>
      <c r="J206" s="119"/>
      <c r="K206" s="119"/>
      <c r="L206" s="119"/>
      <c r="M206" s="119"/>
      <c r="N206" s="119"/>
      <c r="O206" s="119"/>
      <c r="P206" s="779"/>
      <c r="Q206" s="779"/>
      <c r="R206" s="779"/>
      <c r="S206" s="779"/>
      <c r="T206" s="780"/>
      <c r="U206" s="780"/>
      <c r="V206" s="780"/>
      <c r="W206" s="113"/>
      <c r="X206" s="112"/>
      <c r="Y206" s="112"/>
      <c r="Z206" s="111"/>
    </row>
    <row r="207" spans="1:26" ht="16.5" hidden="1" customHeight="1" x14ac:dyDescent="0.2">
      <c r="A207" s="547"/>
      <c r="B207" s="546"/>
      <c r="C207" s="546"/>
      <c r="D207" s="546"/>
      <c r="E207" s="546"/>
      <c r="F207" s="546"/>
      <c r="G207" s="546"/>
      <c r="H207" s="546"/>
      <c r="J207" s="119"/>
      <c r="K207" s="119"/>
      <c r="L207" s="119"/>
      <c r="M207" s="119"/>
      <c r="N207" s="119"/>
      <c r="O207" s="119"/>
      <c r="P207" s="779"/>
      <c r="Q207" s="779"/>
      <c r="R207" s="779"/>
      <c r="S207" s="779"/>
      <c r="T207" s="780"/>
      <c r="U207" s="780"/>
      <c r="V207" s="780"/>
      <c r="W207" s="113"/>
      <c r="X207" s="112"/>
      <c r="Y207" s="112"/>
      <c r="Z207" s="111"/>
    </row>
    <row r="208" spans="1:26" ht="16.5" hidden="1" customHeight="1" x14ac:dyDescent="0.2">
      <c r="A208" s="547"/>
      <c r="B208" s="546"/>
      <c r="C208" s="546"/>
      <c r="D208" s="546"/>
      <c r="E208" s="546"/>
      <c r="F208" s="546"/>
      <c r="G208" s="546"/>
      <c r="H208" s="546"/>
      <c r="J208" s="119"/>
      <c r="K208" s="119"/>
      <c r="L208" s="119"/>
      <c r="M208" s="119"/>
      <c r="N208" s="119"/>
      <c r="O208" s="119"/>
      <c r="P208" s="779"/>
      <c r="Q208" s="779"/>
      <c r="R208" s="779"/>
      <c r="S208" s="779"/>
      <c r="T208" s="780"/>
      <c r="U208" s="780"/>
      <c r="V208" s="780"/>
      <c r="W208" s="113"/>
      <c r="X208" s="112"/>
      <c r="Y208" s="112"/>
      <c r="Z208" s="111"/>
    </row>
    <row r="209" spans="1:26" ht="6" hidden="1" customHeight="1" x14ac:dyDescent="0.2">
      <c r="A209" s="547"/>
      <c r="B209" s="4"/>
      <c r="C209" s="4"/>
      <c r="D209" s="4"/>
      <c r="E209" s="4"/>
      <c r="F209" s="4"/>
      <c r="G209" s="4"/>
      <c r="H209" s="4"/>
      <c r="J209" s="119"/>
      <c r="K209" s="119"/>
      <c r="L209" s="119"/>
      <c r="M209" s="119"/>
      <c r="N209" s="119"/>
      <c r="O209" s="119"/>
      <c r="P209" s="779"/>
      <c r="Q209" s="779"/>
      <c r="R209" s="779"/>
      <c r="S209" s="779"/>
      <c r="T209" s="780"/>
      <c r="U209" s="780"/>
      <c r="V209" s="780"/>
      <c r="W209" s="113"/>
      <c r="X209" s="112"/>
      <c r="Y209" s="112"/>
      <c r="Z209" s="111"/>
    </row>
    <row r="210" spans="1:26" ht="18" hidden="1" customHeight="1" x14ac:dyDescent="0.25">
      <c r="A210" s="547"/>
      <c r="B210" s="1048" t="str">
        <f>IF(F196&gt;E196,"Primärenergiebedarf zu hoch!",IF(F197&gt;E197,"Kohlendioxidemissionen zu hoch!",IF(AND(O72=1,B198&gt;A198),"Gesamtenergieeffizienz-Faktor zu hoch!",IF(AND(O72=2,B198&gt;A198),"Endenergiebedarf zu hoch!",IF(AND(F196&lt;=E196,F197&lt;=E197,B198&lt;A198,F196&gt;0,F197&gt;0,B198&gt;0),"Alle Grenzwerte eingehalten! Keine weitere Alternativenprüfung notwendig!",IF(OR(F196=0,F197=0,B198=0),"Bitte tragen Sie alle Kennzahlen aus dem Energieausweis in die grünen Felder ein."," "))))))</f>
        <v xml:space="preserve"> </v>
      </c>
      <c r="C210" s="1048"/>
      <c r="D210" s="1048"/>
      <c r="E210" s="1048"/>
      <c r="F210" s="1048"/>
      <c r="G210" s="1048"/>
      <c r="H210" s="1048"/>
      <c r="J210" s="119"/>
      <c r="K210" s="119"/>
      <c r="L210" s="119"/>
      <c r="M210" s="119"/>
      <c r="N210" s="119"/>
      <c r="O210" s="119"/>
      <c r="P210" s="779"/>
      <c r="Q210" s="779"/>
      <c r="R210" s="779"/>
      <c r="S210" s="779"/>
      <c r="T210" s="780"/>
      <c r="U210" s="780"/>
      <c r="V210" s="780"/>
      <c r="W210" s="113"/>
      <c r="X210" s="112"/>
      <c r="Y210" s="112"/>
      <c r="Z210" s="111"/>
    </row>
    <row r="211" spans="1:26" ht="27" hidden="1" customHeight="1" x14ac:dyDescent="0.2">
      <c r="A211" s="1047" t="str">
        <f>IF(OR(F196&gt;E196,F197&gt;E197,AND(O72=1,B198&gt;A198),AND(O72=2,B198&gt;A198)),"Verbessern Sie die Gebäudequalität (z.B. durch mehr Wärmedämmung oder bessere Fenster). 
Alternativ weiter zu Punkt ll - Alternativenprüfung!"," ")</f>
        <v xml:space="preserve"> </v>
      </c>
      <c r="B211" s="1047"/>
      <c r="C211" s="1047"/>
      <c r="D211" s="1047"/>
      <c r="E211" s="1047"/>
      <c r="F211" s="1047"/>
      <c r="G211" s="1047"/>
      <c r="H211" s="1047"/>
      <c r="J211" s="119"/>
      <c r="K211" s="119"/>
      <c r="L211" s="119"/>
      <c r="M211" s="119"/>
      <c r="N211" s="119"/>
      <c r="O211" s="119"/>
      <c r="P211" s="779"/>
      <c r="Q211" s="779"/>
      <c r="R211" s="779"/>
      <c r="S211" s="779"/>
      <c r="T211" s="780"/>
      <c r="U211" s="780"/>
      <c r="V211" s="780"/>
      <c r="W211" s="113"/>
      <c r="X211" s="112"/>
      <c r="Y211" s="112"/>
      <c r="Z211" s="111"/>
    </row>
    <row r="212" spans="1:26" ht="7.5" hidden="1" customHeight="1" x14ac:dyDescent="0.2">
      <c r="A212" s="656"/>
      <c r="B212" s="4"/>
      <c r="C212" s="4"/>
      <c r="D212" s="4"/>
      <c r="E212" s="4"/>
      <c r="F212" s="4"/>
      <c r="G212" s="4"/>
      <c r="H212" s="4"/>
      <c r="J212" s="119"/>
      <c r="K212" s="119"/>
      <c r="L212" s="119"/>
      <c r="M212" s="119"/>
      <c r="N212" s="119"/>
      <c r="O212" s="119"/>
      <c r="P212" s="779"/>
      <c r="Q212" s="779"/>
      <c r="R212" s="779"/>
      <c r="S212" s="779"/>
      <c r="T212" s="780"/>
      <c r="U212" s="780"/>
      <c r="V212" s="780"/>
      <c r="W212" s="113"/>
      <c r="X212" s="112"/>
      <c r="Y212" s="112"/>
      <c r="Z212" s="111"/>
    </row>
    <row r="213" spans="1:26" ht="24" hidden="1" customHeight="1" x14ac:dyDescent="0.2">
      <c r="A213" s="275" t="s">
        <v>83</v>
      </c>
      <c r="B213" s="1017" t="s">
        <v>81</v>
      </c>
      <c r="C213" s="1017"/>
      <c r="D213" s="1017"/>
      <c r="E213" s="1017"/>
      <c r="F213" s="1017"/>
      <c r="G213" s="1017"/>
      <c r="H213" s="1017"/>
      <c r="J213" s="119"/>
      <c r="K213" s="119"/>
      <c r="L213" s="119"/>
      <c r="M213" s="119"/>
      <c r="N213" s="119"/>
      <c r="O213" s="119"/>
      <c r="P213" s="512"/>
      <c r="Q213" s="779"/>
      <c r="R213" s="779"/>
      <c r="S213" s="779"/>
      <c r="T213" s="780"/>
      <c r="U213" s="780"/>
      <c r="V213" s="780"/>
      <c r="W213" s="113"/>
      <c r="X213" s="112"/>
      <c r="Y213" s="112"/>
      <c r="Z213" s="111"/>
    </row>
    <row r="214" spans="1:26" ht="71.25" hidden="1" customHeight="1" x14ac:dyDescent="0.2">
      <c r="A214" s="1009" t="s">
        <v>249</v>
      </c>
      <c r="B214" s="1009"/>
      <c r="C214" s="1009"/>
      <c r="D214" s="1009"/>
      <c r="E214" s="1009"/>
      <c r="F214" s="1009"/>
      <c r="G214" s="1009"/>
      <c r="H214" s="1009"/>
      <c r="J214" s="119"/>
      <c r="K214" s="119"/>
      <c r="L214" s="119"/>
      <c r="M214" s="119"/>
      <c r="N214" s="119"/>
      <c r="O214" s="119"/>
      <c r="P214" s="512"/>
      <c r="Q214" s="779"/>
      <c r="R214" s="779"/>
      <c r="S214" s="779"/>
      <c r="T214" s="780"/>
      <c r="U214" s="780"/>
      <c r="V214" s="780"/>
      <c r="W214" s="113"/>
      <c r="X214" s="112"/>
      <c r="Y214" s="112"/>
      <c r="Z214" s="111"/>
    </row>
    <row r="215" spans="1:26" ht="17.100000000000001" hidden="1" customHeight="1" x14ac:dyDescent="0.25">
      <c r="A215" s="657">
        <v>1</v>
      </c>
      <c r="B215" s="1007" t="s">
        <v>35</v>
      </c>
      <c r="C215" s="1007"/>
      <c r="D215" s="1007"/>
      <c r="E215" s="1007"/>
      <c r="F215" s="1007"/>
      <c r="G215" s="1007"/>
      <c r="H215" s="1007"/>
      <c r="J215" s="119"/>
      <c r="K215" s="195" t="s">
        <v>19</v>
      </c>
      <c r="L215" s="197" t="s">
        <v>4</v>
      </c>
      <c r="M215" s="197" t="s">
        <v>22</v>
      </c>
      <c r="N215" s="197" t="s">
        <v>20</v>
      </c>
      <c r="O215" s="197">
        <v>1</v>
      </c>
      <c r="P215" s="785"/>
      <c r="Q215" s="785"/>
      <c r="R215" s="785"/>
      <c r="S215" s="781"/>
      <c r="T215" s="786"/>
      <c r="U215" s="786"/>
      <c r="V215" s="786"/>
      <c r="W215" s="113"/>
      <c r="X215" s="112"/>
      <c r="Y215" s="112"/>
      <c r="Z215" s="111"/>
    </row>
    <row r="216" spans="1:26" ht="17.100000000000001" hidden="1" customHeight="1" x14ac:dyDescent="0.2">
      <c r="A216" s="658"/>
      <c r="B216" s="4" t="s">
        <v>3</v>
      </c>
      <c r="C216" s="4"/>
      <c r="D216" s="4"/>
      <c r="E216" s="4"/>
      <c r="F216" s="4"/>
      <c r="G216" s="4"/>
      <c r="H216" s="4"/>
      <c r="J216" s="119"/>
      <c r="K216" s="205">
        <v>3</v>
      </c>
      <c r="L216" s="119" t="s">
        <v>5</v>
      </c>
      <c r="M216" s="119">
        <v>1</v>
      </c>
      <c r="N216" s="119" t="s">
        <v>21</v>
      </c>
      <c r="O216" s="119" t="b">
        <v>0</v>
      </c>
      <c r="P216" s="512"/>
      <c r="Q216" s="512"/>
      <c r="R216" s="512"/>
      <c r="S216" s="782"/>
      <c r="T216" s="786"/>
      <c r="U216" s="786"/>
      <c r="V216" s="786"/>
      <c r="W216" s="113"/>
      <c r="X216" s="112"/>
      <c r="Y216" s="112"/>
      <c r="Z216" s="111"/>
    </row>
    <row r="217" spans="1:26" ht="15" hidden="1" customHeight="1" x14ac:dyDescent="0.2">
      <c r="A217" s="547"/>
      <c r="B217" s="659" t="s">
        <v>230</v>
      </c>
      <c r="C217" s="660"/>
      <c r="D217" s="660"/>
      <c r="E217" s="660"/>
      <c r="F217" s="661"/>
      <c r="G217" s="548"/>
      <c r="H217" s="50"/>
      <c r="J217" s="119"/>
      <c r="K217" s="205"/>
      <c r="L217" s="119" t="s">
        <v>6</v>
      </c>
      <c r="M217" s="119"/>
      <c r="N217" s="119" t="s">
        <v>34</v>
      </c>
      <c r="O217" s="119"/>
      <c r="P217" s="512"/>
      <c r="Q217" s="512"/>
      <c r="R217" s="512"/>
      <c r="S217" s="782"/>
      <c r="T217" s="786"/>
      <c r="U217" s="786"/>
      <c r="V217" s="786"/>
      <c r="W217" s="113"/>
      <c r="X217" s="112"/>
      <c r="Y217" s="112"/>
      <c r="Z217" s="111"/>
    </row>
    <row r="218" spans="1:26" s="93" customFormat="1" ht="3.75" hidden="1" customHeight="1" x14ac:dyDescent="0.2">
      <c r="A218" s="552"/>
      <c r="B218" s="138"/>
      <c r="C218" s="138"/>
      <c r="D218" s="137"/>
      <c r="E218" s="60"/>
      <c r="F218" s="60"/>
      <c r="G218" s="137"/>
      <c r="H218" s="50"/>
      <c r="I218" s="155"/>
      <c r="J218" s="119"/>
      <c r="K218" s="205"/>
      <c r="L218" s="119" t="s">
        <v>7</v>
      </c>
      <c r="M218" s="119"/>
      <c r="N218" s="119"/>
      <c r="O218" s="119"/>
      <c r="P218" s="512"/>
      <c r="Q218" s="512"/>
      <c r="R218" s="512"/>
      <c r="S218" s="782"/>
      <c r="T218" s="786"/>
      <c r="U218" s="786"/>
      <c r="V218" s="786"/>
      <c r="W218" s="113"/>
      <c r="X218" s="112"/>
      <c r="Y218" s="112"/>
      <c r="Z218" s="111"/>
    </row>
    <row r="219" spans="1:26" ht="17.100000000000001" hidden="1" customHeight="1" x14ac:dyDescent="0.2">
      <c r="A219" s="547"/>
      <c r="B219" s="4" t="s">
        <v>26</v>
      </c>
      <c r="C219" s="4"/>
      <c r="D219" s="548"/>
      <c r="E219" s="549"/>
      <c r="F219" s="549"/>
      <c r="G219" s="137"/>
      <c r="H219" s="50"/>
      <c r="J219" s="119"/>
      <c r="K219" s="205"/>
      <c r="L219" s="119" t="s">
        <v>8</v>
      </c>
      <c r="M219" s="119"/>
      <c r="N219" s="119"/>
      <c r="O219" s="119"/>
      <c r="P219" s="512"/>
      <c r="Q219" s="512"/>
      <c r="R219" s="512"/>
      <c r="S219" s="782"/>
      <c r="T219" s="786"/>
      <c r="U219" s="786"/>
      <c r="V219" s="786"/>
      <c r="W219" s="113"/>
      <c r="X219" s="112"/>
      <c r="Y219" s="112"/>
      <c r="Z219" s="111"/>
    </row>
    <row r="220" spans="1:26" ht="16.5" hidden="1" customHeight="1" x14ac:dyDescent="0.2">
      <c r="A220" s="547"/>
      <c r="B220" s="4"/>
      <c r="C220" s="66" t="str">
        <f>IF(M216=2,"Begründung:","  ")</f>
        <v xml:space="preserve">  </v>
      </c>
      <c r="D220" s="1018"/>
      <c r="E220" s="1018"/>
      <c r="F220" s="1018"/>
      <c r="G220" s="137"/>
      <c r="H220" s="50"/>
      <c r="J220" s="119"/>
      <c r="K220" s="205"/>
      <c r="L220" s="119" t="s">
        <v>9</v>
      </c>
      <c r="M220" s="119" t="s">
        <v>24</v>
      </c>
      <c r="N220" s="119" t="s">
        <v>20</v>
      </c>
      <c r="O220" s="119"/>
      <c r="P220" s="512"/>
      <c r="Q220" s="512"/>
      <c r="R220" s="512"/>
      <c r="S220" s="782"/>
      <c r="T220" s="786"/>
      <c r="U220" s="786"/>
      <c r="V220" s="786"/>
      <c r="W220" s="113"/>
      <c r="X220" s="112"/>
      <c r="Y220" s="112"/>
      <c r="Z220" s="111"/>
    </row>
    <row r="221" spans="1:26" ht="17.100000000000001" hidden="1" customHeight="1" x14ac:dyDescent="0.2">
      <c r="A221" s="547"/>
      <c r="B221" s="4" t="s">
        <v>23</v>
      </c>
      <c r="C221" s="4"/>
      <c r="D221" s="548"/>
      <c r="E221" s="549"/>
      <c r="F221" s="549"/>
      <c r="G221" s="137"/>
      <c r="H221" s="50"/>
      <c r="J221" s="119"/>
      <c r="K221" s="205"/>
      <c r="L221" s="119" t="s">
        <v>10</v>
      </c>
      <c r="M221" s="119">
        <v>3</v>
      </c>
      <c r="N221" s="119" t="s">
        <v>21</v>
      </c>
      <c r="O221" s="119"/>
      <c r="P221" s="512"/>
      <c r="Q221" s="512"/>
      <c r="R221" s="512"/>
      <c r="S221" s="782"/>
      <c r="T221" s="786"/>
      <c r="U221" s="786"/>
      <c r="V221" s="786"/>
      <c r="W221" s="113"/>
      <c r="X221" s="112"/>
      <c r="Y221" s="112"/>
      <c r="Z221" s="111"/>
    </row>
    <row r="222" spans="1:26" ht="17.100000000000001" hidden="1" customHeight="1" x14ac:dyDescent="0.2">
      <c r="A222" s="547"/>
      <c r="B222" s="4"/>
      <c r="C222" s="1006" t="str">
        <f>IF(M221=2,"Nutzung des Gebäudes:","  ")</f>
        <v xml:space="preserve">  </v>
      </c>
      <c r="D222" s="1006"/>
      <c r="E222" s="1014"/>
      <c r="F222" s="1014"/>
      <c r="G222" s="137"/>
      <c r="H222" s="50"/>
      <c r="J222" s="119"/>
      <c r="K222" s="205"/>
      <c r="L222" s="119" t="s">
        <v>11</v>
      </c>
      <c r="M222" s="119"/>
      <c r="N222" s="119" t="s">
        <v>34</v>
      </c>
      <c r="O222" s="119"/>
      <c r="P222" s="512"/>
      <c r="Q222" s="512"/>
      <c r="R222" s="512"/>
      <c r="S222" s="782"/>
      <c r="T222" s="786"/>
      <c r="U222" s="786"/>
      <c r="V222" s="786"/>
      <c r="W222" s="113"/>
      <c r="X222" s="112"/>
      <c r="Y222" s="112"/>
      <c r="Z222" s="111"/>
    </row>
    <row r="223" spans="1:26" ht="17.100000000000001" hidden="1" customHeight="1" x14ac:dyDescent="0.2">
      <c r="A223" s="547"/>
      <c r="B223" s="4" t="s">
        <v>261</v>
      </c>
      <c r="C223" s="4"/>
      <c r="D223" s="548"/>
      <c r="E223" s="60"/>
      <c r="F223" s="66" t="str">
        <f>IF(M224=1,"Bestätigung durch Gemeinde"," ")</f>
        <v xml:space="preserve"> </v>
      </c>
      <c r="G223" s="137"/>
      <c r="H223" s="50"/>
      <c r="J223" s="119"/>
      <c r="K223" s="205"/>
      <c r="L223" s="119" t="s">
        <v>12</v>
      </c>
      <c r="M223" s="119" t="s">
        <v>25</v>
      </c>
      <c r="N223" s="119" t="s">
        <v>20</v>
      </c>
      <c r="O223" s="119"/>
      <c r="P223" s="512"/>
      <c r="Q223" s="512" t="s">
        <v>126</v>
      </c>
      <c r="R223" s="512"/>
      <c r="S223" s="782"/>
      <c r="T223" s="786"/>
      <c r="U223" s="786"/>
      <c r="V223" s="786"/>
      <c r="W223" s="113"/>
      <c r="X223" s="112"/>
      <c r="Y223" s="112"/>
      <c r="Z223" s="111"/>
    </row>
    <row r="224" spans="1:26" ht="5.25" hidden="1" customHeight="1" x14ac:dyDescent="0.2">
      <c r="A224" s="547"/>
      <c r="B224" s="48"/>
      <c r="C224" s="48"/>
      <c r="D224" s="137"/>
      <c r="E224" s="60"/>
      <c r="F224" s="60"/>
      <c r="G224" s="137"/>
      <c r="H224" s="50"/>
      <c r="J224" s="119"/>
      <c r="K224" s="205"/>
      <c r="L224" s="119" t="s">
        <v>13</v>
      </c>
      <c r="M224" s="119">
        <v>2</v>
      </c>
      <c r="N224" s="119" t="s">
        <v>21</v>
      </c>
      <c r="O224" s="119"/>
      <c r="P224" s="512"/>
      <c r="Q224" s="512"/>
      <c r="R224" s="512"/>
      <c r="S224" s="782"/>
      <c r="T224" s="786"/>
      <c r="U224" s="786"/>
      <c r="V224" s="786"/>
      <c r="W224" s="113"/>
      <c r="X224" s="112"/>
      <c r="Y224" s="112"/>
      <c r="Z224" s="111"/>
    </row>
    <row r="225" spans="1:26" ht="16.5" hidden="1" customHeight="1" x14ac:dyDescent="0.2">
      <c r="A225" s="31"/>
      <c r="B225" s="1015" t="s">
        <v>36</v>
      </c>
      <c r="C225" s="1015"/>
      <c r="D225" s="1015"/>
      <c r="E225" s="662" t="str">
        <f>IF(OR(K216&lt;6.5,M216=2,M221=2,M224=1),"aus technischen oder ökologischen Gründen nicht sinnvoll.",IF(OR(AND(K216&gt;5,K216&lt;15),M216=1,M221=1,M224=1),"technisch möglich und ökologisch sinnvoll."," "))</f>
        <v>aus technischen oder ökologischen Gründen nicht sinnvoll.</v>
      </c>
      <c r="F225" s="60"/>
      <c r="G225" s="137"/>
      <c r="H225" s="50"/>
      <c r="J225" s="119"/>
      <c r="K225" s="205"/>
      <c r="L225" s="119" t="s">
        <v>14</v>
      </c>
      <c r="M225" s="119"/>
      <c r="N225" s="119" t="s">
        <v>34</v>
      </c>
      <c r="O225" s="119"/>
      <c r="P225" s="512"/>
      <c r="Q225" s="787" t="str">
        <f>IF(OR(K216&lt;6.5,M216=2,M221=2,M224=1),"nein",IF(OR(AND(K216&gt;5,K216&lt;15),M216=1,M221=1,M224=1),"ja",0))</f>
        <v>nein</v>
      </c>
      <c r="R225" s="788"/>
      <c r="S225" s="782"/>
      <c r="T225" s="786"/>
      <c r="U225" s="786"/>
      <c r="V225" s="786"/>
      <c r="W225" s="113"/>
      <c r="X225" s="112"/>
      <c r="Y225" s="112"/>
      <c r="Z225" s="111"/>
    </row>
    <row r="226" spans="1:26" s="93" customFormat="1" ht="3.75" hidden="1" customHeight="1" x14ac:dyDescent="0.2">
      <c r="A226" s="552"/>
      <c r="B226" s="663"/>
      <c r="C226" s="48"/>
      <c r="D226" s="137"/>
      <c r="E226" s="60"/>
      <c r="F226" s="60"/>
      <c r="G226" s="137"/>
      <c r="H226" s="50"/>
      <c r="I226" s="155"/>
      <c r="J226" s="119"/>
      <c r="K226" s="205"/>
      <c r="L226" s="119" t="s">
        <v>15</v>
      </c>
      <c r="M226" s="119"/>
      <c r="N226" s="119"/>
      <c r="O226" s="119"/>
      <c r="P226" s="512"/>
      <c r="Q226" s="512"/>
      <c r="R226" s="512"/>
      <c r="S226" s="782"/>
      <c r="T226" s="786"/>
      <c r="U226" s="786"/>
      <c r="V226" s="786"/>
      <c r="W226" s="113"/>
      <c r="X226" s="112"/>
      <c r="Y226" s="112"/>
      <c r="Z226" s="111"/>
    </row>
    <row r="227" spans="1:26" s="93" customFormat="1" ht="3.75" hidden="1" customHeight="1" x14ac:dyDescent="0.2">
      <c r="A227" s="552"/>
      <c r="B227" s="48"/>
      <c r="C227" s="48"/>
      <c r="D227" s="137"/>
      <c r="E227" s="60"/>
      <c r="F227" s="60"/>
      <c r="G227" s="137"/>
      <c r="H227" s="50"/>
      <c r="I227" s="155"/>
      <c r="J227" s="119"/>
      <c r="K227" s="205"/>
      <c r="L227" s="119" t="s">
        <v>16</v>
      </c>
      <c r="M227" s="119"/>
      <c r="N227" s="119"/>
      <c r="O227" s="119"/>
      <c r="P227" s="512"/>
      <c r="Q227" s="512"/>
      <c r="R227" s="512"/>
      <c r="S227" s="782"/>
      <c r="T227" s="786"/>
      <c r="U227" s="786"/>
      <c r="V227" s="786"/>
      <c r="W227" s="113"/>
      <c r="X227" s="112"/>
      <c r="Y227" s="112"/>
      <c r="Z227" s="111"/>
    </row>
    <row r="228" spans="1:26" ht="16.5" hidden="1" customHeight="1" x14ac:dyDescent="0.25">
      <c r="A228" s="657">
        <v>2</v>
      </c>
      <c r="B228" s="1007" t="s">
        <v>30</v>
      </c>
      <c r="C228" s="1007"/>
      <c r="D228" s="1007"/>
      <c r="E228" s="1007"/>
      <c r="F228" s="1007"/>
      <c r="G228" s="1007"/>
      <c r="H228" s="1007"/>
      <c r="J228" s="119"/>
      <c r="K228" s="205"/>
      <c r="L228" s="119" t="s">
        <v>17</v>
      </c>
      <c r="M228" s="119">
        <v>1</v>
      </c>
      <c r="N228" s="119" t="s">
        <v>21</v>
      </c>
      <c r="O228" s="119"/>
      <c r="P228" s="512"/>
      <c r="Q228" s="512"/>
      <c r="R228" s="512"/>
      <c r="S228" s="782"/>
      <c r="T228" s="786"/>
      <c r="U228" s="786"/>
      <c r="V228" s="786"/>
      <c r="W228" s="113"/>
      <c r="X228" s="112"/>
      <c r="Y228" s="112"/>
      <c r="Z228" s="111"/>
    </row>
    <row r="229" spans="1:26" ht="17.100000000000001" hidden="1" customHeight="1" x14ac:dyDescent="0.25">
      <c r="A229" s="664"/>
      <c r="B229" s="4"/>
      <c r="C229" s="548" t="s">
        <v>250</v>
      </c>
      <c r="D229" s="665">
        <v>10</v>
      </c>
      <c r="E229" s="18" t="s">
        <v>144</v>
      </c>
      <c r="F229" s="18"/>
      <c r="G229" s="4"/>
      <c r="H229" s="4"/>
      <c r="J229" s="119"/>
      <c r="K229" s="205"/>
      <c r="L229" s="119" t="s">
        <v>18</v>
      </c>
      <c r="M229" s="119"/>
      <c r="N229" s="119"/>
      <c r="O229" s="119"/>
      <c r="P229" s="512"/>
      <c r="Q229" s="512"/>
      <c r="R229" s="512"/>
      <c r="S229" s="782"/>
      <c r="T229" s="786"/>
      <c r="U229" s="786"/>
      <c r="V229" s="786"/>
      <c r="W229" s="113"/>
      <c r="X229" s="112"/>
      <c r="Y229" s="112"/>
      <c r="Z229" s="111"/>
    </row>
    <row r="230" spans="1:26" s="93" customFormat="1" ht="1.5" hidden="1" customHeight="1" x14ac:dyDescent="0.2">
      <c r="A230" s="552"/>
      <c r="B230" s="138"/>
      <c r="C230" s="139"/>
      <c r="D230" s="48"/>
      <c r="E230" s="48"/>
      <c r="F230" s="48"/>
      <c r="G230" s="48"/>
      <c r="H230" s="48"/>
      <c r="J230" s="343"/>
      <c r="K230" s="344"/>
      <c r="L230" s="345" t="s">
        <v>34</v>
      </c>
      <c r="M230" s="345"/>
      <c r="N230" s="345"/>
      <c r="O230" s="345"/>
      <c r="P230" s="789"/>
      <c r="Q230" s="789"/>
      <c r="R230" s="789"/>
      <c r="S230" s="790"/>
      <c r="T230" s="791"/>
      <c r="U230" s="791"/>
      <c r="V230" s="791"/>
      <c r="W230" s="140"/>
      <c r="X230" s="111"/>
      <c r="Y230" s="111"/>
      <c r="Z230" s="111"/>
    </row>
    <row r="231" spans="1:26" s="93" customFormat="1" ht="16.5" hidden="1" customHeight="1" x14ac:dyDescent="0.2">
      <c r="A231" s="552"/>
      <c r="B231" s="666" t="s">
        <v>125</v>
      </c>
      <c r="C231" s="48"/>
      <c r="D231" s="48"/>
      <c r="E231" s="48"/>
      <c r="F231" s="48"/>
      <c r="G231" s="48"/>
      <c r="H231" s="48"/>
      <c r="J231" s="343"/>
      <c r="K231" s="348"/>
      <c r="L231" s="343"/>
      <c r="M231" s="343"/>
      <c r="N231" s="343"/>
      <c r="O231" s="343"/>
      <c r="P231" s="723"/>
      <c r="Q231" s="723"/>
      <c r="R231" s="723"/>
      <c r="S231" s="790"/>
      <c r="T231" s="791"/>
      <c r="U231" s="791"/>
      <c r="V231" s="791"/>
      <c r="W231" s="140"/>
      <c r="X231" s="111"/>
      <c r="Y231" s="111"/>
      <c r="Z231" s="111"/>
    </row>
    <row r="232" spans="1:26" s="93" customFormat="1" ht="12.75" hidden="1" customHeight="1" x14ac:dyDescent="0.2">
      <c r="A232" s="552"/>
      <c r="B232" s="48"/>
      <c r="C232" s="667" t="s">
        <v>31</v>
      </c>
      <c r="D232" s="668">
        <f>0.9*D229/H232</f>
        <v>3.9130434782608701</v>
      </c>
      <c r="E232" s="667" t="s">
        <v>32</v>
      </c>
      <c r="F232" s="668">
        <f>2.5*D229/H232</f>
        <v>10.869565217391305</v>
      </c>
      <c r="G232" s="667" t="s">
        <v>260</v>
      </c>
      <c r="H232" s="669">
        <v>2.2999999999999998</v>
      </c>
      <c r="J232" s="343"/>
      <c r="K232" s="348"/>
      <c r="L232" s="343"/>
      <c r="M232" s="343"/>
      <c r="N232" s="343"/>
      <c r="O232" s="343"/>
      <c r="P232" s="723"/>
      <c r="Q232" s="723"/>
      <c r="R232" s="723"/>
      <c r="S232" s="790"/>
      <c r="T232" s="791"/>
      <c r="U232" s="791"/>
      <c r="V232" s="791"/>
      <c r="W232" s="140"/>
      <c r="X232" s="111"/>
      <c r="Y232" s="111"/>
      <c r="Z232" s="111"/>
    </row>
    <row r="233" spans="1:26" s="93" customFormat="1" ht="16.5" hidden="1" customHeight="1" x14ac:dyDescent="0.2">
      <c r="A233" s="552"/>
      <c r="B233" s="48"/>
      <c r="C233" s="137"/>
      <c r="D233" s="143"/>
      <c r="E233" s="137"/>
      <c r="F233" s="143"/>
      <c r="G233" s="670"/>
      <c r="H233" s="671"/>
      <c r="J233" s="343"/>
      <c r="K233" s="348"/>
      <c r="L233" s="343"/>
      <c r="M233" s="343"/>
      <c r="N233" s="343"/>
      <c r="O233" s="343"/>
      <c r="P233" s="723"/>
      <c r="Q233" s="723"/>
      <c r="R233" s="723"/>
      <c r="S233" s="790"/>
      <c r="T233" s="791"/>
      <c r="U233" s="791"/>
      <c r="V233" s="791"/>
      <c r="W233" s="140"/>
      <c r="X233" s="111"/>
      <c r="Y233" s="111"/>
      <c r="Z233" s="111"/>
    </row>
    <row r="234" spans="1:26" s="93" customFormat="1" ht="16.5" hidden="1" customHeight="1" x14ac:dyDescent="0.2">
      <c r="A234" s="552"/>
      <c r="B234" s="48" t="s">
        <v>33</v>
      </c>
      <c r="C234" s="137"/>
      <c r="D234" s="143"/>
      <c r="E234" s="137"/>
      <c r="F234" s="415" t="str">
        <f>IF(K235=2,"Begründung:","")</f>
        <v/>
      </c>
      <c r="G234" s="1014"/>
      <c r="H234" s="1014"/>
      <c r="J234" s="414"/>
      <c r="K234" s="348" t="s">
        <v>37</v>
      </c>
      <c r="L234" s="343" t="s">
        <v>20</v>
      </c>
      <c r="M234" s="343"/>
      <c r="N234" s="343" t="s">
        <v>39</v>
      </c>
      <c r="O234" s="343" t="s">
        <v>20</v>
      </c>
      <c r="P234" s="723"/>
      <c r="Q234" s="723" t="s">
        <v>40</v>
      </c>
      <c r="R234" s="723" t="s">
        <v>20</v>
      </c>
      <c r="S234" s="790"/>
      <c r="T234" s="791"/>
      <c r="U234" s="791"/>
      <c r="V234" s="791"/>
      <c r="W234" s="140"/>
      <c r="X234" s="111"/>
      <c r="Y234" s="111"/>
      <c r="Z234" s="111"/>
    </row>
    <row r="235" spans="1:26" s="93" customFormat="1" ht="16.5" hidden="1" customHeight="1" x14ac:dyDescent="0.2">
      <c r="A235" s="552"/>
      <c r="B235" s="48" t="s">
        <v>42</v>
      </c>
      <c r="C235" s="137"/>
      <c r="D235" s="143"/>
      <c r="E235" s="137"/>
      <c r="F235" s="415" t="str">
        <f>IF(N235=2,"Begründung:","")</f>
        <v/>
      </c>
      <c r="G235" s="1014"/>
      <c r="H235" s="1014"/>
      <c r="J235" s="343"/>
      <c r="K235" s="348">
        <v>1</v>
      </c>
      <c r="L235" s="343" t="s">
        <v>38</v>
      </c>
      <c r="M235" s="343"/>
      <c r="N235" s="343">
        <v>3</v>
      </c>
      <c r="O235" s="343" t="s">
        <v>21</v>
      </c>
      <c r="P235" s="723"/>
      <c r="Q235" s="723">
        <v>3</v>
      </c>
      <c r="R235" s="723" t="s">
        <v>21</v>
      </c>
      <c r="S235" s="790"/>
      <c r="T235" s="791"/>
      <c r="U235" s="791"/>
      <c r="V235" s="791"/>
      <c r="W235" s="140"/>
      <c r="X235" s="111"/>
      <c r="Y235" s="111"/>
      <c r="Z235" s="111"/>
    </row>
    <row r="236" spans="1:26" s="93" customFormat="1" ht="16.5" hidden="1" customHeight="1" x14ac:dyDescent="0.2">
      <c r="A236" s="552"/>
      <c r="B236" s="48" t="s">
        <v>262</v>
      </c>
      <c r="C236" s="137"/>
      <c r="D236" s="143"/>
      <c r="E236" s="137"/>
      <c r="F236" s="143"/>
      <c r="G236" s="13"/>
      <c r="H236" s="143"/>
      <c r="J236" s="343"/>
      <c r="K236" s="348"/>
      <c r="L236" s="343" t="s">
        <v>34</v>
      </c>
      <c r="M236" s="343"/>
      <c r="N236" s="343"/>
      <c r="O236" s="343" t="s">
        <v>34</v>
      </c>
      <c r="P236" s="723"/>
      <c r="Q236" s="723"/>
      <c r="R236" s="723" t="s">
        <v>34</v>
      </c>
      <c r="S236" s="790"/>
      <c r="T236" s="791"/>
      <c r="U236" s="791"/>
      <c r="V236" s="791"/>
      <c r="W236" s="140"/>
      <c r="X236" s="111"/>
      <c r="Y236" s="111"/>
      <c r="Z236" s="111"/>
    </row>
    <row r="237" spans="1:26" s="93" customFormat="1" ht="16.5" hidden="1" customHeight="1" x14ac:dyDescent="0.2">
      <c r="A237" s="552"/>
      <c r="B237" s="158" t="str">
        <f>IF(Q235=1,"Auszug aus dem Bundesgesetz oder tirismaps - Umweltschutz - Luftgüte (über www.tirol.gv.at/tiris) ist beizulegen!"," ")</f>
        <v xml:space="preserve"> </v>
      </c>
      <c r="C237" s="137"/>
      <c r="D237" s="143"/>
      <c r="E237" s="137"/>
      <c r="F237" s="143"/>
      <c r="G237" s="137"/>
      <c r="H237" s="143"/>
      <c r="J237" s="343"/>
      <c r="K237" s="348"/>
      <c r="L237" s="343"/>
      <c r="M237" s="343"/>
      <c r="N237" s="343"/>
      <c r="O237" s="343"/>
      <c r="P237" s="723"/>
      <c r="Q237" s="723"/>
      <c r="R237" s="723"/>
      <c r="S237" s="790"/>
      <c r="T237" s="791"/>
      <c r="U237" s="791"/>
      <c r="V237" s="791"/>
      <c r="W237" s="140"/>
      <c r="X237" s="111"/>
      <c r="Y237" s="111"/>
      <c r="Z237" s="111"/>
    </row>
    <row r="238" spans="1:26" s="93" customFormat="1" ht="5.25" hidden="1" customHeight="1" x14ac:dyDescent="0.2">
      <c r="A238" s="552"/>
      <c r="B238" s="138"/>
      <c r="C238" s="137"/>
      <c r="D238" s="143"/>
      <c r="E238" s="137"/>
      <c r="F238" s="143"/>
      <c r="G238" s="137"/>
      <c r="H238" s="143"/>
      <c r="J238" s="343"/>
      <c r="K238" s="348"/>
      <c r="L238" s="343"/>
      <c r="M238" s="343"/>
      <c r="N238" s="343"/>
      <c r="O238" s="343"/>
      <c r="P238" s="723"/>
      <c r="Q238" s="723"/>
      <c r="R238" s="723"/>
      <c r="S238" s="790"/>
      <c r="T238" s="791"/>
      <c r="U238" s="791"/>
      <c r="V238" s="791"/>
      <c r="W238" s="140"/>
      <c r="X238" s="111"/>
      <c r="Y238" s="111"/>
      <c r="Z238" s="111"/>
    </row>
    <row r="239" spans="1:26" s="93" customFormat="1" ht="27.75" hidden="1" customHeight="1" x14ac:dyDescent="0.2">
      <c r="A239" s="552"/>
      <c r="B239" s="672" t="s">
        <v>41</v>
      </c>
      <c r="C239" s="96"/>
      <c r="D239" s="96"/>
      <c r="E239" s="1016" t="str">
        <f>IF(OR(K235=2,N235=2),"aus technischen Gründen nicht möglich.",IF(Q235=1,"technisch möglich. Aus Gründen der Luftreinhaltung kann von einer weiteren Prüfung aber abgesehen werden.",IF(OR(K235=1,N235=1,Q235=2),"technisch möglich und ökologisch sinnvoll."," ")))</f>
        <v>technisch möglich und ökologisch sinnvoll.</v>
      </c>
      <c r="F239" s="1016"/>
      <c r="G239" s="1016"/>
      <c r="H239" s="1016"/>
      <c r="J239" s="343"/>
      <c r="K239" s="344"/>
      <c r="L239" s="345"/>
      <c r="M239" s="345"/>
      <c r="N239" s="345"/>
      <c r="O239" s="345"/>
      <c r="P239" s="789"/>
      <c r="Q239" s="792" t="s">
        <v>127</v>
      </c>
      <c r="R239" s="793" t="str">
        <f>IF(OR(K235=2,N235=2,Q235=1),"nein",IF(OR(K235=1,N235=1,Q235=2),"ja",0))</f>
        <v>ja</v>
      </c>
      <c r="S239" s="788"/>
      <c r="T239" s="791"/>
      <c r="U239" s="791"/>
      <c r="V239" s="791"/>
      <c r="W239" s="140"/>
      <c r="X239" s="111"/>
      <c r="Y239" s="111"/>
      <c r="Z239" s="111"/>
    </row>
    <row r="240" spans="1:26" s="93" customFormat="1" ht="7.5" hidden="1" customHeight="1" x14ac:dyDescent="0.2">
      <c r="A240" s="552"/>
      <c r="B240" s="48"/>
      <c r="C240" s="48"/>
      <c r="D240" s="48"/>
      <c r="E240" s="48"/>
      <c r="F240" s="48"/>
      <c r="G240" s="48"/>
      <c r="H240" s="48"/>
      <c r="J240" s="343"/>
      <c r="K240" s="348"/>
      <c r="L240" s="343"/>
      <c r="M240" s="343"/>
      <c r="N240" s="343"/>
      <c r="O240" s="343"/>
      <c r="P240" s="723"/>
      <c r="Q240" s="723"/>
      <c r="R240" s="723"/>
      <c r="S240" s="790"/>
      <c r="T240" s="791"/>
      <c r="U240" s="791"/>
      <c r="V240" s="791"/>
      <c r="W240" s="140"/>
      <c r="X240" s="111"/>
      <c r="Y240" s="111"/>
      <c r="Z240" s="111"/>
    </row>
    <row r="241" spans="1:26" ht="17.100000000000001" hidden="1" customHeight="1" x14ac:dyDescent="0.25">
      <c r="A241" s="657">
        <v>3</v>
      </c>
      <c r="B241" s="1007" t="s">
        <v>50</v>
      </c>
      <c r="C241" s="1007"/>
      <c r="D241" s="1007"/>
      <c r="E241" s="1007"/>
      <c r="F241" s="1007"/>
      <c r="G241" s="1007"/>
      <c r="H241" s="1007"/>
      <c r="J241" s="119"/>
      <c r="K241" s="205"/>
      <c r="L241" s="119"/>
      <c r="M241" s="119"/>
      <c r="N241" s="119"/>
      <c r="O241" s="119"/>
      <c r="P241" s="512"/>
      <c r="Q241" s="512"/>
      <c r="R241" s="512"/>
      <c r="S241" s="782"/>
      <c r="T241" s="786"/>
      <c r="U241" s="786"/>
      <c r="V241" s="786"/>
      <c r="W241" s="113"/>
      <c r="X241" s="112"/>
      <c r="Y241" s="112"/>
      <c r="Z241" s="111"/>
    </row>
    <row r="242" spans="1:26" s="93" customFormat="1" ht="17.100000000000001" hidden="1" customHeight="1" x14ac:dyDescent="0.2">
      <c r="A242" s="552"/>
      <c r="B242" s="48" t="s">
        <v>49</v>
      </c>
      <c r="C242" s="48"/>
      <c r="D242" s="48"/>
      <c r="E242" s="48"/>
      <c r="F242" s="48"/>
      <c r="G242" s="48"/>
      <c r="H242" s="48"/>
      <c r="I242" s="121"/>
      <c r="J242" s="119"/>
      <c r="K242" s="205" t="s">
        <v>43</v>
      </c>
      <c r="L242" s="119" t="s">
        <v>20</v>
      </c>
      <c r="M242" s="119"/>
      <c r="N242" s="119" t="s">
        <v>44</v>
      </c>
      <c r="O242" s="119" t="s">
        <v>30</v>
      </c>
      <c r="P242" s="794" t="s">
        <v>48</v>
      </c>
      <c r="Q242" s="512" t="s">
        <v>20</v>
      </c>
      <c r="R242" s="512"/>
      <c r="S242" s="782"/>
      <c r="T242" s="786"/>
      <c r="U242" s="786"/>
      <c r="V242" s="786"/>
      <c r="W242" s="113"/>
      <c r="X242" s="112"/>
      <c r="Y242" s="112"/>
      <c r="Z242" s="111"/>
    </row>
    <row r="243" spans="1:26" s="93" customFormat="1" ht="17.100000000000001" hidden="1" customHeight="1" x14ac:dyDescent="0.2">
      <c r="A243" s="552"/>
      <c r="B243" s="48" t="s">
        <v>51</v>
      </c>
      <c r="C243" s="48"/>
      <c r="D243" s="48"/>
      <c r="E243" s="48"/>
      <c r="F243" s="48"/>
      <c r="G243" s="48"/>
      <c r="H243" s="48"/>
      <c r="I243" s="121"/>
      <c r="J243" s="119"/>
      <c r="K243" s="205">
        <v>2</v>
      </c>
      <c r="L243" s="119" t="s">
        <v>21</v>
      </c>
      <c r="M243" s="119"/>
      <c r="N243" s="119">
        <v>5</v>
      </c>
      <c r="O243" s="119" t="s">
        <v>45</v>
      </c>
      <c r="P243" s="512">
        <v>1</v>
      </c>
      <c r="Q243" s="512" t="s">
        <v>21</v>
      </c>
      <c r="R243" s="512"/>
      <c r="S243" s="782"/>
      <c r="T243" s="786"/>
      <c r="U243" s="786"/>
      <c r="V243" s="786"/>
      <c r="W243" s="113"/>
      <c r="X243" s="112"/>
      <c r="Y243" s="112"/>
      <c r="Z243" s="111"/>
    </row>
    <row r="244" spans="1:26" s="93" customFormat="1" ht="17.100000000000001" hidden="1" customHeight="1" x14ac:dyDescent="0.2">
      <c r="A244" s="552"/>
      <c r="B244" s="96" t="s">
        <v>52</v>
      </c>
      <c r="C244" s="96"/>
      <c r="D244" s="96"/>
      <c r="E244" s="96"/>
      <c r="F244" s="60"/>
      <c r="G244" s="60"/>
      <c r="H244" s="60"/>
      <c r="I244" s="121"/>
      <c r="J244" s="119"/>
      <c r="K244" s="205"/>
      <c r="L244" s="119" t="s">
        <v>34</v>
      </c>
      <c r="M244" s="119"/>
      <c r="N244" s="119"/>
      <c r="O244" s="119" t="s">
        <v>46</v>
      </c>
      <c r="P244" s="512"/>
      <c r="Q244" s="512" t="s">
        <v>34</v>
      </c>
      <c r="R244" s="512"/>
      <c r="S244" s="782"/>
      <c r="T244" s="786"/>
      <c r="U244" s="786"/>
      <c r="V244" s="786"/>
      <c r="W244" s="113"/>
      <c r="X244" s="112"/>
      <c r="Y244" s="112"/>
      <c r="Z244" s="111"/>
    </row>
    <row r="245" spans="1:26" s="93" customFormat="1" ht="17.100000000000001" hidden="1" customHeight="1" x14ac:dyDescent="0.2">
      <c r="A245" s="552"/>
      <c r="B245" s="50"/>
      <c r="C245" s="158" t="str">
        <f>IF(P243=2,"Begründung:","  ")</f>
        <v xml:space="preserve">  </v>
      </c>
      <c r="D245" s="1014"/>
      <c r="E245" s="1014"/>
      <c r="F245" s="1014"/>
      <c r="G245" s="60"/>
      <c r="H245" s="60"/>
      <c r="I245" s="121"/>
      <c r="J245" s="119"/>
      <c r="K245" s="205"/>
      <c r="L245" s="119"/>
      <c r="M245" s="119"/>
      <c r="N245" s="119"/>
      <c r="O245" s="119" t="s">
        <v>47</v>
      </c>
      <c r="P245" s="512"/>
      <c r="Q245" s="512"/>
      <c r="R245" s="512"/>
      <c r="S245" s="782"/>
      <c r="T245" s="786"/>
      <c r="U245" s="786"/>
      <c r="V245" s="786"/>
      <c r="W245" s="113"/>
      <c r="X245" s="112"/>
      <c r="Y245" s="112"/>
      <c r="Z245" s="111"/>
    </row>
    <row r="246" spans="1:26" s="93" customFormat="1" ht="10.5" hidden="1" customHeight="1" x14ac:dyDescent="0.2">
      <c r="A246" s="552"/>
      <c r="B246" s="96"/>
      <c r="C246" s="98" t="str">
        <f>IF(P243=2,"(Eine Bestätigung des Fernwärmebetreibers ist beizulegen!)"," ")</f>
        <v xml:space="preserve"> </v>
      </c>
      <c r="D246" s="60"/>
      <c r="E246" s="60"/>
      <c r="F246" s="60"/>
      <c r="G246" s="60"/>
      <c r="H246" s="60"/>
      <c r="I246" s="121"/>
      <c r="J246" s="119"/>
      <c r="K246" s="199"/>
      <c r="L246" s="201"/>
      <c r="M246" s="201"/>
      <c r="N246" s="201"/>
      <c r="O246" s="201" t="s">
        <v>34</v>
      </c>
      <c r="P246" s="795"/>
      <c r="Q246" s="796" t="s">
        <v>128</v>
      </c>
      <c r="R246" s="787" t="str">
        <f>IF(OR(K243=2,N243=2,N243=3,P243=2),"nein",IF(OR(K243=1,N243=1,N243=4,P243=1),"ja",0))</f>
        <v>nein</v>
      </c>
      <c r="S246" s="788"/>
      <c r="T246" s="786"/>
      <c r="U246" s="786"/>
      <c r="V246" s="786"/>
      <c r="W246" s="113"/>
      <c r="X246" s="112"/>
      <c r="Y246" s="112"/>
      <c r="Z246" s="111"/>
    </row>
    <row r="247" spans="1:26" s="93" customFormat="1" ht="3.75" hidden="1" customHeight="1" x14ac:dyDescent="0.2">
      <c r="A247" s="552"/>
      <c r="B247" s="50"/>
      <c r="C247" s="50"/>
      <c r="D247" s="992"/>
      <c r="E247" s="992"/>
      <c r="F247" s="992"/>
      <c r="G247" s="992"/>
      <c r="H247" s="992"/>
      <c r="I247" s="121"/>
      <c r="J247" s="119"/>
      <c r="K247" s="119"/>
      <c r="L247" s="119"/>
      <c r="M247" s="119"/>
      <c r="N247" s="119"/>
      <c r="O247" s="119"/>
      <c r="P247" s="512"/>
      <c r="Q247" s="512"/>
      <c r="R247" s="512"/>
      <c r="S247" s="512"/>
      <c r="T247" s="786"/>
      <c r="U247" s="786"/>
      <c r="V247" s="786"/>
      <c r="W247" s="113"/>
      <c r="X247" s="112"/>
      <c r="Y247" s="112"/>
      <c r="Z247" s="111"/>
    </row>
    <row r="248" spans="1:26" s="93" customFormat="1" ht="17.100000000000001" hidden="1" customHeight="1" x14ac:dyDescent="0.2">
      <c r="A248" s="552"/>
      <c r="B248" s="96"/>
      <c r="C248" s="50"/>
      <c r="D248" s="60"/>
      <c r="E248" s="137" t="s">
        <v>53</v>
      </c>
      <c r="F248" s="673" t="str">
        <f>IF(OR(K243=2,N243=2,N243=3,P243=2),"aus technischen oder ökologischen Gründen nicht möglich.",IF(OR(K243=1,N243=1,N243=4,P243=1),"technisch möglich und ökologisch sinnvoll."," "))</f>
        <v>aus technischen oder ökologischen Gründen nicht möglich.</v>
      </c>
      <c r="G248" s="60"/>
      <c r="H248" s="60"/>
      <c r="I248" s="121"/>
      <c r="L248" s="119"/>
      <c r="M248" s="119"/>
      <c r="N248" s="119"/>
      <c r="O248" s="119"/>
      <c r="P248" s="512"/>
      <c r="Q248" s="512"/>
      <c r="R248" s="512"/>
      <c r="S248" s="512"/>
      <c r="T248" s="786"/>
      <c r="U248" s="786"/>
      <c r="V248" s="786"/>
      <c r="W248" s="113"/>
      <c r="X248" s="112"/>
      <c r="Y248" s="112"/>
      <c r="Z248" s="111"/>
    </row>
    <row r="249" spans="1:26" s="93" customFormat="1" ht="6.75" hidden="1" customHeight="1" x14ac:dyDescent="0.2">
      <c r="A249" s="552"/>
      <c r="B249" s="50"/>
      <c r="C249" s="50"/>
      <c r="D249" s="549"/>
      <c r="E249" s="549"/>
      <c r="F249" s="549"/>
      <c r="G249" s="549"/>
      <c r="H249" s="549"/>
      <c r="I249" s="121"/>
      <c r="L249" s="119"/>
      <c r="M249" s="119"/>
      <c r="N249" s="119"/>
      <c r="O249" s="119"/>
      <c r="P249" s="512"/>
      <c r="Q249" s="512"/>
      <c r="R249" s="512"/>
      <c r="S249" s="512"/>
      <c r="T249" s="786"/>
      <c r="U249" s="786"/>
      <c r="V249" s="786"/>
      <c r="W249" s="113"/>
      <c r="X249" s="112"/>
      <c r="Y249" s="112"/>
      <c r="Z249" s="111"/>
    </row>
    <row r="250" spans="1:26" ht="17.100000000000001" hidden="1" customHeight="1" x14ac:dyDescent="0.25">
      <c r="A250" s="657">
        <v>5</v>
      </c>
      <c r="B250" s="1007" t="s">
        <v>54</v>
      </c>
      <c r="C250" s="1007"/>
      <c r="D250" s="1007"/>
      <c r="E250" s="1007"/>
      <c r="F250" s="1007"/>
      <c r="G250" s="1007"/>
      <c r="H250" s="1007"/>
      <c r="I250" s="129"/>
      <c r="L250" s="119"/>
      <c r="M250" s="201"/>
      <c r="N250" s="201"/>
      <c r="O250" s="201"/>
      <c r="P250" s="795"/>
      <c r="Q250" s="795"/>
      <c r="R250" s="795"/>
      <c r="S250" s="795"/>
      <c r="T250" s="797"/>
      <c r="U250" s="786"/>
      <c r="V250" s="786"/>
      <c r="W250" s="113"/>
      <c r="X250" s="112"/>
      <c r="Y250" s="112"/>
      <c r="Z250" s="111"/>
    </row>
    <row r="251" spans="1:26" ht="17.100000000000001" hidden="1" customHeight="1" x14ac:dyDescent="0.2">
      <c r="A251" s="674" t="s">
        <v>57</v>
      </c>
      <c r="B251" s="1013" t="s">
        <v>58</v>
      </c>
      <c r="C251" s="1013"/>
      <c r="D251" s="1013"/>
      <c r="E251" s="1013"/>
      <c r="F251" s="1013"/>
      <c r="G251" s="1013"/>
      <c r="H251" s="1013"/>
      <c r="I251" s="646"/>
      <c r="K251" s="195" t="s">
        <v>61</v>
      </c>
      <c r="L251" s="197" t="s">
        <v>62</v>
      </c>
      <c r="M251" s="197"/>
      <c r="N251" s="197"/>
      <c r="O251" s="197"/>
      <c r="P251" s="785"/>
      <c r="Q251" s="785"/>
      <c r="R251" s="785"/>
      <c r="S251" s="512"/>
      <c r="T251" s="786"/>
      <c r="U251" s="798"/>
      <c r="V251" s="786"/>
      <c r="W251" s="113"/>
      <c r="X251" s="112"/>
      <c r="Y251" s="112"/>
      <c r="Z251" s="111"/>
    </row>
    <row r="252" spans="1:26" ht="17.100000000000001" hidden="1" customHeight="1" x14ac:dyDescent="0.25">
      <c r="A252" s="675"/>
      <c r="B252" s="676" t="s">
        <v>64</v>
      </c>
      <c r="C252" s="554"/>
      <c r="D252" s="554"/>
      <c r="E252" s="677" t="str">
        <f>IF(K256=1,"Hinweis: Eine Luft-Wärmepumpe ist nur für Gebäude bis zur Kategorie A empfehlenswert.","")</f>
        <v/>
      </c>
      <c r="F252" s="554"/>
      <c r="G252" s="58"/>
      <c r="H252" s="24"/>
      <c r="I252" s="647"/>
      <c r="J252" s="119"/>
      <c r="K252" s="205">
        <v>4</v>
      </c>
      <c r="L252" s="119" t="s">
        <v>63</v>
      </c>
      <c r="M252" s="119"/>
      <c r="N252" s="119"/>
      <c r="O252" s="119" t="s">
        <v>68</v>
      </c>
      <c r="P252" s="799">
        <f>D33</f>
        <v>0</v>
      </c>
      <c r="Q252" s="512"/>
      <c r="R252" s="794" t="s">
        <v>129</v>
      </c>
      <c r="S252" s="787" t="str">
        <f>IF(AND(K256=1,H254&gt;0,H254&lt;=35,Q282&gt;0,Q282&lt;=25),"ja",IF(H254&gt;35,"nein",IF(AND(H254&gt;0,H254&lt;=35),"ja",0)))</f>
        <v>ja</v>
      </c>
      <c r="T252" s="790"/>
      <c r="U252" s="786"/>
      <c r="V252" s="786"/>
      <c r="W252" s="113"/>
      <c r="X252" s="112"/>
      <c r="Y252" s="112"/>
      <c r="Z252" s="111"/>
    </row>
    <row r="253" spans="1:26" ht="3.75" hidden="1" customHeight="1" x14ac:dyDescent="0.25">
      <c r="A253" s="675"/>
      <c r="B253" s="18"/>
      <c r="C253" s="554"/>
      <c r="D253" s="554"/>
      <c r="E253" s="18"/>
      <c r="F253" s="56"/>
      <c r="G253" s="554"/>
      <c r="H253" s="678"/>
      <c r="I253" s="648"/>
      <c r="J253" s="119"/>
      <c r="K253" s="205"/>
      <c r="L253" s="122" t="s">
        <v>263</v>
      </c>
      <c r="M253" s="119"/>
      <c r="N253" s="119"/>
      <c r="O253" s="119"/>
      <c r="P253" s="512"/>
      <c r="Q253" s="512"/>
      <c r="R253" s="512"/>
      <c r="S253" s="512"/>
      <c r="T253" s="800"/>
      <c r="U253" s="786"/>
      <c r="V253" s="786"/>
      <c r="W253" s="113"/>
      <c r="X253" s="112"/>
      <c r="Y253" s="112"/>
      <c r="Z253" s="111"/>
    </row>
    <row r="254" spans="1:26" ht="15.75" hidden="1" customHeight="1" x14ac:dyDescent="0.25">
      <c r="A254" s="675"/>
      <c r="B254" s="676" t="s">
        <v>60</v>
      </c>
      <c r="C254" s="554"/>
      <c r="D254" s="554"/>
      <c r="E254" s="554"/>
      <c r="F254" s="58"/>
      <c r="G254" s="58" t="s">
        <v>59</v>
      </c>
      <c r="H254" s="679">
        <v>30</v>
      </c>
      <c r="I254" s="129"/>
      <c r="J254" s="119"/>
      <c r="K254" s="369"/>
      <c r="L254" s="119" t="s">
        <v>34</v>
      </c>
      <c r="M254" s="119"/>
      <c r="N254" s="119"/>
      <c r="O254" s="119" t="s">
        <v>96</v>
      </c>
      <c r="P254" s="512"/>
      <c r="Q254" s="512" t="s">
        <v>97</v>
      </c>
      <c r="R254" s="512"/>
      <c r="S254" s="512"/>
      <c r="T254" s="800"/>
      <c r="U254" s="786"/>
      <c r="V254" s="786"/>
      <c r="W254" s="113"/>
      <c r="X254" s="112"/>
      <c r="Y254" s="112"/>
      <c r="Z254" s="111"/>
    </row>
    <row r="255" spans="1:26" ht="1.5" hidden="1" customHeight="1" x14ac:dyDescent="0.25">
      <c r="A255" s="675"/>
      <c r="B255" s="676"/>
      <c r="C255" s="554"/>
      <c r="D255" s="554"/>
      <c r="E255" s="554"/>
      <c r="F255" s="58"/>
      <c r="G255" s="58"/>
      <c r="H255" s="680"/>
      <c r="I255" s="129"/>
      <c r="J255" s="119"/>
      <c r="K255" s="205" t="s">
        <v>64</v>
      </c>
      <c r="L255" s="119" t="s">
        <v>65</v>
      </c>
      <c r="M255" s="119"/>
      <c r="N255" s="119"/>
      <c r="O255" s="119"/>
      <c r="P255" s="512"/>
      <c r="Q255" s="512" t="s">
        <v>98</v>
      </c>
      <c r="R255" s="512"/>
      <c r="S255" s="512"/>
      <c r="T255" s="800"/>
      <c r="U255" s="786"/>
      <c r="V255" s="786"/>
      <c r="W255" s="113"/>
      <c r="X255" s="112"/>
      <c r="Y255" s="112"/>
      <c r="Z255" s="111"/>
    </row>
    <row r="256" spans="1:26" ht="15" hidden="1" customHeight="1" x14ac:dyDescent="0.25">
      <c r="A256" s="675"/>
      <c r="B256" s="681"/>
      <c r="C256" s="681" t="str">
        <f>IF(OR(H254&gt;35,K252=1,K252=3),"Begründung, warum kein Niedertemperaturverteilsystem möglich ist:"," ")</f>
        <v xml:space="preserve"> </v>
      </c>
      <c r="D256" s="554"/>
      <c r="E256" s="554"/>
      <c r="F256" s="69"/>
      <c r="G256" s="1014"/>
      <c r="H256" s="1014"/>
      <c r="I256" s="129"/>
      <c r="J256" s="119"/>
      <c r="K256" s="205">
        <v>4</v>
      </c>
      <c r="L256" s="119" t="s">
        <v>67</v>
      </c>
      <c r="M256" s="119"/>
      <c r="N256" s="119"/>
      <c r="O256" s="119"/>
      <c r="P256" s="512">
        <v>3</v>
      </c>
      <c r="Q256" s="512" t="s">
        <v>99</v>
      </c>
      <c r="R256" s="512"/>
      <c r="S256" s="512"/>
      <c r="T256" s="800"/>
      <c r="U256" s="786"/>
      <c r="V256" s="786"/>
      <c r="W256" s="113"/>
      <c r="X256" s="112"/>
      <c r="Y256" s="112"/>
      <c r="Z256" s="111"/>
    </row>
    <row r="257" spans="1:26" ht="10.5" hidden="1" customHeight="1" x14ac:dyDescent="0.25">
      <c r="A257" s="675"/>
      <c r="B257" s="18"/>
      <c r="C257" s="554"/>
      <c r="D257" s="554"/>
      <c r="E257" s="554"/>
      <c r="F257" s="554"/>
      <c r="G257" s="554"/>
      <c r="H257" s="554"/>
      <c r="I257" s="129"/>
      <c r="J257" s="119"/>
      <c r="K257" s="205"/>
      <c r="L257" s="119" t="s">
        <v>66</v>
      </c>
      <c r="M257" s="119"/>
      <c r="N257" s="119"/>
      <c r="O257" s="119"/>
      <c r="P257" s="512"/>
      <c r="Q257" s="512" t="s">
        <v>100</v>
      </c>
      <c r="R257" s="512"/>
      <c r="S257" s="512"/>
      <c r="T257" s="800"/>
      <c r="U257" s="786"/>
      <c r="V257" s="786"/>
      <c r="W257" s="113"/>
      <c r="X257" s="112"/>
      <c r="Y257" s="112"/>
      <c r="Z257" s="111"/>
    </row>
    <row r="258" spans="1:26" ht="16.5" hidden="1" customHeight="1" x14ac:dyDescent="0.25">
      <c r="A258" s="675"/>
      <c r="B258" s="31"/>
      <c r="C258" s="554"/>
      <c r="D258" s="548" t="s">
        <v>72</v>
      </c>
      <c r="E258" s="68"/>
      <c r="F258" s="69"/>
      <c r="G258" s="554"/>
      <c r="H258" s="554"/>
      <c r="I258" s="129"/>
      <c r="J258" s="119"/>
      <c r="K258" s="205"/>
      <c r="L258" s="119" t="s">
        <v>34</v>
      </c>
      <c r="M258" s="119"/>
      <c r="N258" s="119"/>
      <c r="O258" s="119"/>
      <c r="P258" s="512"/>
      <c r="Q258" s="512" t="s">
        <v>101</v>
      </c>
      <c r="R258" s="512"/>
      <c r="S258" s="512"/>
      <c r="T258" s="800"/>
      <c r="U258" s="786"/>
      <c r="V258" s="786"/>
      <c r="W258" s="113"/>
      <c r="X258" s="112"/>
      <c r="Y258" s="112"/>
      <c r="Z258" s="111"/>
    </row>
    <row r="259" spans="1:26" ht="16.5" hidden="1" customHeight="1" x14ac:dyDescent="0.25">
      <c r="A259" s="675"/>
      <c r="B259" s="31"/>
      <c r="C259" s="68" t="str">
        <f>IF(AND(OR(K53,K54,L54,M54,N54,O54)=TRUE,H254=0),"Bitte vervollständigen Sie die Eingaben (grüne Felder)!",IF(AND(K256=1,H254&gt;0,H254&lt;=35,Q282&gt;0,Q282&lt;=25),"bei diesem Gebäude sinnvoll (HWB bis 25 kWh/m²a).",IF(OR(K252=1,K252=3,H254&gt;35),"aus gebäudetechnischen Gründen nicht sinnvoll. Keine weitere Prüfung von Wärmepumpen notwendig!",IF(AND(K256=1,P252&gt;25),"mit der Wärmequelle Luft nicht sinnvoll. Wählen Sie eine andere Wärmequelle.",IF(AND(H254&gt;0,H254&lt;=35),"aus gebäudetechnischer Sicht möglich und sinnvoll. Fahren Sie fort mit Punkt 5.1!"," ")))))</f>
        <v>aus gebäudetechnischer Sicht möglich und sinnvoll. Fahren Sie fort mit Punkt 5.1!</v>
      </c>
      <c r="D259" s="548"/>
      <c r="E259" s="68"/>
      <c r="F259" s="69"/>
      <c r="G259" s="554"/>
      <c r="H259" s="554"/>
      <c r="I259" s="129"/>
      <c r="J259" s="119"/>
      <c r="K259" s="205"/>
      <c r="L259" s="119"/>
      <c r="M259" s="119"/>
      <c r="N259" s="119"/>
      <c r="O259" s="119"/>
      <c r="P259" s="512"/>
      <c r="Q259" s="512" t="s">
        <v>102</v>
      </c>
      <c r="R259" s="512"/>
      <c r="S259" s="512"/>
      <c r="T259" s="800"/>
      <c r="U259" s="786"/>
      <c r="V259" s="786"/>
      <c r="W259" s="113"/>
      <c r="X259" s="112"/>
      <c r="Y259" s="112"/>
      <c r="Z259" s="111"/>
    </row>
    <row r="260" spans="1:26" ht="10.5" hidden="1" customHeight="1" x14ac:dyDescent="0.25">
      <c r="A260" s="675"/>
      <c r="B260" s="31"/>
      <c r="C260" s="212"/>
      <c r="D260" s="548"/>
      <c r="E260" s="68"/>
      <c r="F260" s="69"/>
      <c r="G260" s="554"/>
      <c r="H260" s="554"/>
      <c r="I260" s="129"/>
      <c r="J260" s="119"/>
      <c r="K260" s="199"/>
      <c r="L260" s="201"/>
      <c r="M260" s="201"/>
      <c r="N260" s="201"/>
      <c r="O260" s="201"/>
      <c r="P260" s="795"/>
      <c r="Q260" s="795" t="s">
        <v>105</v>
      </c>
      <c r="R260" s="795"/>
      <c r="S260" s="795"/>
      <c r="T260" s="801"/>
      <c r="U260" s="786"/>
      <c r="V260" s="786"/>
      <c r="W260" s="113"/>
      <c r="X260" s="112"/>
      <c r="Y260" s="112"/>
      <c r="Z260" s="111"/>
    </row>
    <row r="261" spans="1:26" ht="17.100000000000001" hidden="1" customHeight="1" x14ac:dyDescent="0.2">
      <c r="A261" s="674" t="s">
        <v>55</v>
      </c>
      <c r="B261" s="1013" t="s">
        <v>70</v>
      </c>
      <c r="C261" s="1013"/>
      <c r="D261" s="1013"/>
      <c r="E261" s="1013"/>
      <c r="F261" s="1013"/>
      <c r="G261" s="1013"/>
      <c r="H261" s="1013"/>
      <c r="I261" s="129"/>
      <c r="J261" s="119"/>
      <c r="K261" s="119"/>
      <c r="L261" s="119"/>
      <c r="M261" s="119"/>
      <c r="N261" s="119"/>
      <c r="O261" s="119"/>
      <c r="P261" s="802"/>
      <c r="Q261" s="802"/>
      <c r="R261" s="802"/>
      <c r="S261" s="802"/>
      <c r="T261" s="803"/>
      <c r="U261" s="786"/>
      <c r="V261" s="786"/>
      <c r="W261" s="113"/>
      <c r="X261" s="112"/>
      <c r="Y261" s="112"/>
      <c r="Z261" s="111"/>
    </row>
    <row r="262" spans="1:26" ht="57.75" hidden="1" customHeight="1" x14ac:dyDescent="0.2">
      <c r="A262" s="547"/>
      <c r="B262" s="1009" t="str">
        <f>IF(H254=0," ",IF(H254&gt;35,"Das geplante Gebäude erfüllt die Voraussetzungen für einen effizienten Betrieb einer Wärmepumpe NICHT! Von einer weiteren Prüfung kann Abstand genommen werden.",IF(AND(H254&gt;0,H254&lt;=35),CONCATENATE(P262,P263)," ")))</f>
        <v>Das geplante Gebäude erfüllt prinzipiell die Voraussetzungen, unter denen eine Grundwasser-Wärmepumpe effizient arbeitet. Sofern keine bewilligungsrechtlichen Aspekte gegen den Einsatz einer Grundwasser-Wärmepumpe sprechen, ist für ein wählbares Wärmepumpensystem (Grundwasser- oder Erdreichwärmepumpe) eine wirtschaftliche Vergleichsrechnung anzustellen.</v>
      </c>
      <c r="C262" s="1009"/>
      <c r="D262" s="1009"/>
      <c r="E262" s="1009"/>
      <c r="F262" s="1009"/>
      <c r="G262" s="1009"/>
      <c r="H262" s="1009"/>
      <c r="J262" s="119"/>
      <c r="K262" s="119"/>
      <c r="L262" s="119"/>
      <c r="M262" s="119"/>
      <c r="N262" s="119"/>
      <c r="O262" s="214" t="s">
        <v>67</v>
      </c>
      <c r="P262" s="804" t="s">
        <v>115</v>
      </c>
      <c r="Q262" s="804"/>
      <c r="R262" s="804"/>
      <c r="S262" s="804"/>
      <c r="T262" s="804"/>
      <c r="U262" s="804"/>
      <c r="V262" s="804"/>
      <c r="W262" s="113"/>
      <c r="X262" s="112"/>
      <c r="Y262" s="112"/>
      <c r="Z262" s="111"/>
    </row>
    <row r="263" spans="1:26" ht="10.5" hidden="1" customHeight="1" x14ac:dyDescent="0.2">
      <c r="A263" s="547"/>
      <c r="B263" s="1009"/>
      <c r="C263" s="1009"/>
      <c r="D263" s="1009"/>
      <c r="E263" s="1009"/>
      <c r="F263" s="1009"/>
      <c r="G263" s="1009"/>
      <c r="H263" s="1009"/>
      <c r="J263" s="119"/>
      <c r="K263" s="119"/>
      <c r="L263" s="119"/>
      <c r="M263" s="119"/>
      <c r="N263" s="119"/>
      <c r="O263" s="215"/>
      <c r="P263" s="805" t="s">
        <v>109</v>
      </c>
      <c r="Q263" s="805"/>
      <c r="R263" s="805"/>
      <c r="S263" s="805"/>
      <c r="T263" s="805"/>
      <c r="U263" s="805"/>
      <c r="V263" s="805"/>
      <c r="W263" s="113"/>
      <c r="X263" s="112"/>
      <c r="Y263" s="112"/>
      <c r="Z263" s="111"/>
    </row>
    <row r="264" spans="1:26" ht="17.100000000000001" hidden="1" customHeight="1" x14ac:dyDescent="0.2">
      <c r="A264" s="547"/>
      <c r="B264" s="1012" t="s">
        <v>103</v>
      </c>
      <c r="C264" s="1012"/>
      <c r="D264" s="1012"/>
      <c r="E264" s="4"/>
      <c r="F264" s="4"/>
      <c r="G264" s="4"/>
      <c r="H264" s="4"/>
      <c r="J264" s="119"/>
      <c r="K264" s="119"/>
      <c r="L264" s="119"/>
      <c r="M264" s="119"/>
      <c r="N264" s="119"/>
      <c r="O264" s="216"/>
      <c r="P264" s="805" t="s">
        <v>104</v>
      </c>
      <c r="Q264" s="795"/>
      <c r="R264" s="795"/>
      <c r="S264" s="795"/>
      <c r="T264" s="797"/>
      <c r="U264" s="786"/>
      <c r="V264" s="786"/>
      <c r="W264" s="113"/>
      <c r="X264" s="112"/>
      <c r="Y264" s="112"/>
      <c r="Z264" s="111"/>
    </row>
    <row r="265" spans="1:26" ht="7.5" hidden="1" customHeight="1" x14ac:dyDescent="0.2">
      <c r="A265" s="547"/>
      <c r="B265" s="4"/>
      <c r="C265" s="18"/>
      <c r="D265" s="4"/>
      <c r="E265" s="18"/>
      <c r="F265" s="4"/>
      <c r="G265" s="18"/>
      <c r="H265" s="4"/>
      <c r="J265" s="119"/>
      <c r="K265" s="119"/>
      <c r="L265" s="119"/>
      <c r="M265" s="119"/>
      <c r="N265" s="119"/>
      <c r="O265" s="119"/>
      <c r="P265" s="512"/>
      <c r="Q265" s="512"/>
      <c r="R265" s="512"/>
      <c r="S265" s="512"/>
      <c r="T265" s="786"/>
      <c r="U265" s="786"/>
      <c r="V265" s="786"/>
      <c r="W265" s="113"/>
      <c r="X265" s="112"/>
      <c r="Y265" s="112"/>
      <c r="Z265" s="111"/>
    </row>
    <row r="266" spans="1:26" ht="17.100000000000001" hidden="1" customHeight="1" x14ac:dyDescent="0.2">
      <c r="A266" s="547"/>
      <c r="B266" s="272" t="s">
        <v>74</v>
      </c>
      <c r="C266" s="4"/>
      <c r="D266" s="4"/>
      <c r="E266" s="272"/>
      <c r="F266" s="4"/>
      <c r="G266" s="4"/>
      <c r="H266" s="4"/>
      <c r="J266" s="119"/>
      <c r="K266" s="120" t="s">
        <v>130</v>
      </c>
      <c r="L266" s="223" t="str">
        <f>IF(AND(P256&gt;0,P256&lt;=6),"nein",IF(H254&lt;=35,"ja",0))</f>
        <v>nein</v>
      </c>
      <c r="M266" s="119"/>
      <c r="N266" s="119"/>
      <c r="O266" s="119"/>
      <c r="P266" s="795"/>
      <c r="Q266" s="795"/>
      <c r="R266" s="795"/>
      <c r="S266" s="795"/>
      <c r="T266" s="797"/>
      <c r="U266" s="797"/>
      <c r="V266" s="786"/>
      <c r="W266" s="113"/>
      <c r="X266" s="112"/>
      <c r="Y266" s="112"/>
      <c r="Z266" s="111"/>
    </row>
    <row r="267" spans="1:26" ht="16.5" hidden="1" customHeight="1" x14ac:dyDescent="0.2">
      <c r="A267" s="547"/>
      <c r="B267" s="4"/>
      <c r="C267" s="68" t="str">
        <f>IF(AND(P256&gt;0,P256&lt;=6),"aus bewilligungsrechtlichen Gründen nicht möglich. Es ist ggf. ein schriftlicher Nachweis zu erbringen!",IF(H254&lt;=35,"technisch und bewilligungsrechtlich möglich."," "))</f>
        <v>aus bewilligungsrechtlichen Gründen nicht möglich. Es ist ggf. ein schriftlicher Nachweis zu erbringen!</v>
      </c>
      <c r="D267" s="4"/>
      <c r="E267" s="4"/>
      <c r="F267" s="4"/>
      <c r="G267" s="4"/>
      <c r="H267" s="4"/>
      <c r="J267" s="119"/>
      <c r="K267" s="120" t="s">
        <v>131</v>
      </c>
      <c r="L267" s="223" t="str">
        <f>IF(AND(K271&gt;0,K271&lt;=5),"nein",IF(H254&lt;=35,"ja",0))</f>
        <v>ja</v>
      </c>
      <c r="M267" s="119"/>
      <c r="N267" s="119"/>
      <c r="O267" s="214" t="s">
        <v>66</v>
      </c>
      <c r="P267" s="806" t="s">
        <v>114</v>
      </c>
      <c r="Q267" s="804"/>
      <c r="R267" s="804"/>
      <c r="S267" s="804"/>
      <c r="T267" s="804"/>
      <c r="U267" s="804"/>
      <c r="V267" s="804"/>
      <c r="W267" s="113"/>
      <c r="X267" s="112"/>
      <c r="Y267" s="112"/>
      <c r="Z267" s="111"/>
    </row>
    <row r="268" spans="1:26" ht="7.5" hidden="1" customHeight="1" x14ac:dyDescent="0.2">
      <c r="A268" s="547"/>
      <c r="B268" s="4"/>
      <c r="C268" s="4"/>
      <c r="D268" s="4"/>
      <c r="E268" s="4"/>
      <c r="F268" s="4"/>
      <c r="G268" s="4"/>
      <c r="H268" s="4"/>
      <c r="J268" s="119"/>
      <c r="K268" s="120" t="s">
        <v>132</v>
      </c>
      <c r="L268" s="223">
        <f>IF(AND(K279&gt;0,K279&lt;=2),"nein",IF(AND(H254&lt;=35,Q282&gt;0,Q282&lt;=25),"ja",0))</f>
        <v>0</v>
      </c>
      <c r="M268" s="119"/>
      <c r="N268" s="119"/>
      <c r="O268" s="216"/>
      <c r="P268" s="805" t="s">
        <v>123</v>
      </c>
      <c r="Q268" s="802"/>
      <c r="R268" s="802"/>
      <c r="S268" s="802"/>
      <c r="T268" s="803"/>
      <c r="U268" s="803"/>
      <c r="V268" s="786"/>
      <c r="W268" s="113"/>
      <c r="X268" s="112"/>
      <c r="Y268" s="112"/>
      <c r="Z268" s="111"/>
    </row>
    <row r="269" spans="1:26" ht="17.100000000000001" hidden="1" customHeight="1" x14ac:dyDescent="0.2">
      <c r="A269" s="674" t="s">
        <v>71</v>
      </c>
      <c r="B269" s="1013" t="s">
        <v>69</v>
      </c>
      <c r="C269" s="1013"/>
      <c r="D269" s="1013"/>
      <c r="E269" s="1013"/>
      <c r="F269" s="1013"/>
      <c r="G269" s="1013"/>
      <c r="H269" s="1013"/>
      <c r="J269" s="119"/>
      <c r="K269" s="119"/>
      <c r="L269" s="119"/>
      <c r="M269" s="119"/>
      <c r="N269" s="119"/>
      <c r="O269" s="119"/>
      <c r="W269" s="113"/>
      <c r="X269" s="112"/>
      <c r="Y269" s="112"/>
      <c r="Z269" s="111"/>
    </row>
    <row r="270" spans="1:26" ht="57.75" hidden="1" customHeight="1" x14ac:dyDescent="0.2">
      <c r="A270" s="547"/>
      <c r="B270" s="1009" t="str">
        <f>IF(H254=0," ",IF(H254&gt;35,"Das geplante Gebäude erfüllt die Voraussetzungen für einen effizienten Betrieb einer Wärmepumpe NICHT! Von einer weiteren Prüfung kann Abstand genommen werden.",IF(AND(H254&gt;0,H254&lt;=35),CONCATENATE(P267,P268)," ")))</f>
        <v>Das geplante Gebäude erfüllt prinzipiell die Voraussetzungen, unter denen eine Erdreich-Wärmepumpe effizient arbeitet. Sofern keine bewilligungsrechtlichen Aspekte gegen den Einsatz einer Erdreich-Wärmepumpe sprechen, ist für ein wählbares Wärmepumpensystem (Grundwasser- oder Erdreichwärmepumpe) eine wirtschaftliche Vergleichsrechnung anzustellen.</v>
      </c>
      <c r="C270" s="1009"/>
      <c r="D270" s="1009"/>
      <c r="E270" s="1009"/>
      <c r="F270" s="1009"/>
      <c r="G270" s="1009"/>
      <c r="H270" s="1009"/>
      <c r="J270" s="195"/>
      <c r="K270" s="208" t="s">
        <v>106</v>
      </c>
      <c r="L270" s="197" t="s">
        <v>97</v>
      </c>
      <c r="M270" s="197"/>
      <c r="N270" s="197"/>
      <c r="O270" s="217" t="s">
        <v>65</v>
      </c>
      <c r="P270" s="807" t="s">
        <v>113</v>
      </c>
      <c r="Q270" s="808"/>
      <c r="R270" s="808"/>
      <c r="S270" s="808"/>
      <c r="T270" s="808"/>
      <c r="U270" s="808"/>
      <c r="V270" s="809"/>
      <c r="W270" s="113"/>
      <c r="X270" s="112"/>
      <c r="Y270" s="112"/>
      <c r="Z270" s="111"/>
    </row>
    <row r="271" spans="1:26" ht="10.5" hidden="1" customHeight="1" x14ac:dyDescent="0.2">
      <c r="A271" s="547"/>
      <c r="B271" s="4"/>
      <c r="C271" s="4"/>
      <c r="D271" s="4"/>
      <c r="E271" s="4"/>
      <c r="F271" s="4"/>
      <c r="G271" s="4"/>
      <c r="H271" s="4"/>
      <c r="J271" s="205"/>
      <c r="K271" s="119">
        <v>6</v>
      </c>
      <c r="L271" s="119" t="s">
        <v>107</v>
      </c>
      <c r="M271" s="119"/>
      <c r="N271" s="119"/>
      <c r="O271" s="215"/>
      <c r="P271" s="805" t="s">
        <v>124</v>
      </c>
      <c r="Q271" s="512"/>
      <c r="R271" s="512"/>
      <c r="S271" s="512"/>
      <c r="T271" s="786"/>
      <c r="U271" s="786"/>
      <c r="V271" s="800"/>
      <c r="W271" s="113"/>
      <c r="X271" s="112"/>
      <c r="Y271" s="112"/>
      <c r="Z271" s="111"/>
    </row>
    <row r="272" spans="1:26" ht="17.100000000000001" hidden="1" customHeight="1" x14ac:dyDescent="0.2">
      <c r="A272" s="547"/>
      <c r="B272" s="1012" t="s">
        <v>103</v>
      </c>
      <c r="C272" s="1012"/>
      <c r="D272" s="1012"/>
      <c r="E272" s="4"/>
      <c r="F272" s="4"/>
      <c r="G272" s="4"/>
      <c r="H272" s="4"/>
      <c r="J272" s="205"/>
      <c r="K272" s="119"/>
      <c r="L272" s="119" t="s">
        <v>98</v>
      </c>
      <c r="M272" s="119"/>
      <c r="N272" s="119"/>
      <c r="O272" s="204"/>
      <c r="P272" s="512" t="s">
        <v>122</v>
      </c>
      <c r="Q272" s="512"/>
      <c r="R272" s="512"/>
      <c r="S272" s="512"/>
      <c r="T272" s="786"/>
      <c r="U272" s="786"/>
      <c r="V272" s="800"/>
      <c r="W272" s="113"/>
      <c r="X272" s="112"/>
      <c r="Y272" s="112"/>
      <c r="Z272" s="111"/>
    </row>
    <row r="273" spans="1:26" ht="10.5" hidden="1" customHeight="1" x14ac:dyDescent="0.2">
      <c r="A273" s="547"/>
      <c r="B273" s="4"/>
      <c r="C273" s="18"/>
      <c r="D273" s="4"/>
      <c r="E273" s="4"/>
      <c r="F273" s="4"/>
      <c r="G273" s="4"/>
      <c r="H273" s="4"/>
      <c r="J273" s="205"/>
      <c r="K273" s="119"/>
      <c r="L273" s="119" t="s">
        <v>108</v>
      </c>
      <c r="M273" s="119"/>
      <c r="N273" s="119"/>
      <c r="O273" s="204"/>
      <c r="P273" s="805" t="s">
        <v>118</v>
      </c>
      <c r="Q273" s="795"/>
      <c r="R273" s="795"/>
      <c r="S273" s="795"/>
      <c r="T273" s="797"/>
      <c r="U273" s="797"/>
      <c r="V273" s="801"/>
      <c r="W273" s="113"/>
      <c r="X273" s="112"/>
      <c r="Y273" s="112"/>
      <c r="Z273" s="111"/>
    </row>
    <row r="274" spans="1:26" ht="17.100000000000001" hidden="1" customHeight="1" x14ac:dyDescent="0.2">
      <c r="A274" s="547"/>
      <c r="B274" s="272" t="s">
        <v>73</v>
      </c>
      <c r="C274" s="4"/>
      <c r="D274" s="4"/>
      <c r="E274" s="4"/>
      <c r="F274" s="4"/>
      <c r="G274" s="992"/>
      <c r="H274" s="992"/>
      <c r="J274" s="205"/>
      <c r="K274" s="119"/>
      <c r="L274" s="119" t="s">
        <v>102</v>
      </c>
      <c r="M274" s="119"/>
      <c r="N274" s="119"/>
      <c r="O274" s="204"/>
      <c r="P274" s="512" t="s">
        <v>117</v>
      </c>
      <c r="Q274" s="512"/>
      <c r="R274" s="512"/>
      <c r="S274" s="512"/>
      <c r="T274" s="786"/>
      <c r="U274" s="786"/>
      <c r="V274" s="786"/>
      <c r="W274" s="113"/>
      <c r="X274" s="112"/>
      <c r="Y274" s="112"/>
      <c r="Z274" s="111"/>
    </row>
    <row r="275" spans="1:26" ht="16.5" hidden="1" customHeight="1" x14ac:dyDescent="0.2">
      <c r="A275" s="547"/>
      <c r="B275" s="4"/>
      <c r="C275" s="66" t="str">
        <f>IF(AND(K271&gt;0,K271&lt;=5),"aus bewilligungsrechtlichen Gründen nicht möglich. Es ist ggf. ein schriftlicher Nachweis zu erbringen!",IF(H254&lt;=35,"technisch und bewilligungsrechtlich möglich."," "))</f>
        <v>technisch und bewilligungsrechtlich möglich.</v>
      </c>
      <c r="D275" s="4"/>
      <c r="E275" s="4"/>
      <c r="F275" s="4"/>
      <c r="G275" s="12"/>
      <c r="H275" s="50"/>
      <c r="J275" s="199"/>
      <c r="K275" s="201"/>
      <c r="L275" s="201" t="s">
        <v>105</v>
      </c>
      <c r="M275" s="201"/>
      <c r="N275" s="201"/>
      <c r="O275" s="202"/>
      <c r="P275" s="512"/>
      <c r="Q275" s="512"/>
      <c r="R275" s="512"/>
      <c r="S275" s="512"/>
      <c r="T275" s="786"/>
      <c r="U275" s="786"/>
      <c r="V275" s="786"/>
      <c r="W275" s="113"/>
      <c r="X275" s="112"/>
      <c r="Y275" s="112"/>
      <c r="Z275" s="111"/>
    </row>
    <row r="276" spans="1:26" ht="7.5" hidden="1" customHeight="1" x14ac:dyDescent="0.2">
      <c r="A276" s="547"/>
      <c r="B276" s="4"/>
      <c r="C276" s="4"/>
      <c r="D276" s="4"/>
      <c r="E276" s="4"/>
      <c r="F276" s="4"/>
      <c r="G276" s="4"/>
      <c r="H276" s="4"/>
      <c r="J276" s="119"/>
      <c r="K276" s="119"/>
      <c r="L276" s="119"/>
      <c r="M276" s="119"/>
      <c r="N276" s="119"/>
      <c r="O276" s="119"/>
      <c r="P276" s="512"/>
      <c r="Q276" s="512"/>
      <c r="R276" s="512"/>
      <c r="S276" s="512"/>
      <c r="T276" s="786"/>
      <c r="U276" s="786"/>
      <c r="V276" s="786"/>
      <c r="W276" s="113"/>
      <c r="X276" s="112"/>
      <c r="Y276" s="112"/>
      <c r="Z276" s="111"/>
    </row>
    <row r="277" spans="1:26" s="93" customFormat="1" ht="17.100000000000001" hidden="1" customHeight="1" x14ac:dyDescent="0.2">
      <c r="A277" s="674" t="s">
        <v>111</v>
      </c>
      <c r="B277" s="1013" t="s">
        <v>112</v>
      </c>
      <c r="C277" s="1013"/>
      <c r="D277" s="1013"/>
      <c r="E277" s="1013"/>
      <c r="F277" s="1013"/>
      <c r="G277" s="1013"/>
      <c r="H277" s="1013"/>
      <c r="I277" s="155"/>
      <c r="J277" s="135"/>
      <c r="K277" s="135"/>
      <c r="L277" s="135"/>
      <c r="M277" s="135"/>
      <c r="N277" s="135"/>
      <c r="O277" s="135"/>
      <c r="P277" s="810"/>
      <c r="Q277" s="810"/>
      <c r="R277" s="810"/>
      <c r="S277" s="810"/>
      <c r="T277" s="811"/>
      <c r="U277" s="811"/>
      <c r="V277" s="811"/>
      <c r="W277" s="140"/>
    </row>
    <row r="278" spans="1:26" s="93" customFormat="1" ht="58.5" hidden="1" customHeight="1" x14ac:dyDescent="0.2">
      <c r="A278" s="547"/>
      <c r="B278" s="1009" t="str">
        <f>IF(OR(Q282=0,H254=0)," ",IF(OR(H254&gt;35,Q282&gt;25),CONCATENATE(P272,P273,P274),IF(OR(AND(Q282&gt;0,Q282&lt;=25),AND(H254&gt;0,H254&lt;=35)),CONCATENATE(P270,P271)," ")))</f>
        <v xml:space="preserve"> </v>
      </c>
      <c r="C278" s="1009"/>
      <c r="D278" s="1009"/>
      <c r="E278" s="1009"/>
      <c r="F278" s="1009"/>
      <c r="G278" s="1009"/>
      <c r="H278" s="1009"/>
      <c r="I278" s="155"/>
      <c r="J278" s="135"/>
      <c r="K278" s="352" t="s">
        <v>120</v>
      </c>
      <c r="L278" s="353" t="s">
        <v>121</v>
      </c>
      <c r="M278" s="354"/>
      <c r="N278" s="354"/>
      <c r="O278" s="355"/>
      <c r="P278" s="810"/>
      <c r="Q278" s="810"/>
      <c r="R278" s="810"/>
      <c r="S278" s="810"/>
      <c r="T278" s="811"/>
      <c r="U278" s="811"/>
      <c r="V278" s="811"/>
      <c r="W278" s="140"/>
    </row>
    <row r="279" spans="1:26" s="93" customFormat="1" ht="7.5" hidden="1" customHeight="1" x14ac:dyDescent="0.2">
      <c r="A279" s="547"/>
      <c r="B279" s="550"/>
      <c r="C279" s="550"/>
      <c r="D279" s="550"/>
      <c r="E279" s="550"/>
      <c r="F279" s="550"/>
      <c r="G279" s="550"/>
      <c r="H279" s="550"/>
      <c r="I279" s="155"/>
      <c r="J279" s="135"/>
      <c r="K279" s="356">
        <v>3</v>
      </c>
      <c r="L279" s="119" t="s">
        <v>102</v>
      </c>
      <c r="M279" s="135"/>
      <c r="N279" s="135"/>
      <c r="O279" s="357"/>
      <c r="P279" s="810"/>
      <c r="Q279" s="810"/>
      <c r="R279" s="810"/>
      <c r="S279" s="810"/>
      <c r="T279" s="811"/>
      <c r="U279" s="811"/>
      <c r="V279" s="811"/>
      <c r="W279" s="140"/>
    </row>
    <row r="280" spans="1:26" s="93" customFormat="1" ht="16.5" hidden="1" customHeight="1" x14ac:dyDescent="0.2">
      <c r="A280" s="547"/>
      <c r="B280" s="550"/>
      <c r="C280" s="1010" t="s">
        <v>56</v>
      </c>
      <c r="D280" s="1010"/>
      <c r="E280" s="682">
        <f>D33</f>
        <v>0</v>
      </c>
      <c r="F280" s="1011" t="str">
        <f>IF(AND(OR(K53,K54,L54,M54,N54,O54)=TRUE,E280=0),"Bitte geben Sie unter KENNGRÖSSEN den Heizwärmebedarf ein!"," ")</f>
        <v xml:space="preserve"> </v>
      </c>
      <c r="G280" s="1011"/>
      <c r="H280" s="1011"/>
      <c r="I280" s="155"/>
      <c r="J280" s="135"/>
      <c r="K280" s="358"/>
      <c r="L280" s="359" t="s">
        <v>105</v>
      </c>
      <c r="M280" s="135"/>
      <c r="N280" s="135"/>
      <c r="O280" s="357"/>
      <c r="P280" s="810"/>
      <c r="Q280" s="810"/>
      <c r="R280" s="810"/>
      <c r="S280" s="810"/>
      <c r="T280" s="811"/>
      <c r="U280" s="811"/>
      <c r="V280" s="811"/>
      <c r="W280" s="140"/>
    </row>
    <row r="281" spans="1:26" s="93" customFormat="1" ht="10.5" hidden="1" customHeight="1" x14ac:dyDescent="0.2">
      <c r="A281" s="547"/>
      <c r="B281" s="4"/>
      <c r="C281" s="4"/>
      <c r="D281" s="4"/>
      <c r="E281" s="4"/>
      <c r="F281" s="4"/>
      <c r="G281" s="4"/>
      <c r="H281" s="4"/>
      <c r="I281" s="155"/>
      <c r="J281" s="122"/>
      <c r="K281" s="356"/>
      <c r="L281" s="119"/>
      <c r="M281" s="135"/>
      <c r="N281" s="135"/>
      <c r="O281" s="357"/>
      <c r="P281" s="812" t="s">
        <v>146</v>
      </c>
      <c r="Q281" s="813">
        <f>D29</f>
        <v>0</v>
      </c>
      <c r="R281" s="778"/>
      <c r="S281" s="778"/>
      <c r="T281" s="113"/>
      <c r="U281" s="113"/>
      <c r="V281" s="113"/>
      <c r="W281" s="140"/>
    </row>
    <row r="282" spans="1:26" s="93" customFormat="1" ht="16.5" hidden="1" customHeight="1" x14ac:dyDescent="0.2">
      <c r="A282" s="547"/>
      <c r="B282" s="1012" t="s">
        <v>103</v>
      </c>
      <c r="C282" s="1012"/>
      <c r="D282" s="1012"/>
      <c r="E282" s="4"/>
      <c r="F282" s="4"/>
      <c r="G282" s="995"/>
      <c r="H282" s="995"/>
      <c r="I282" s="155"/>
      <c r="J282" s="122"/>
      <c r="K282" s="358"/>
      <c r="L282" s="359"/>
      <c r="M282" s="359"/>
      <c r="N282" s="359"/>
      <c r="O282" s="362"/>
      <c r="P282" s="814" t="s">
        <v>116</v>
      </c>
      <c r="Q282" s="815">
        <f>E280</f>
        <v>0</v>
      </c>
      <c r="R282" s="778"/>
      <c r="S282" s="778"/>
      <c r="T282" s="113"/>
      <c r="U282" s="113"/>
      <c r="V282" s="113"/>
      <c r="W282" s="140"/>
    </row>
    <row r="283" spans="1:26" s="93" customFormat="1" ht="13.5" hidden="1" customHeight="1" x14ac:dyDescent="0.2">
      <c r="A283" s="547"/>
      <c r="B283" s="4"/>
      <c r="C283" s="55" t="str">
        <f>IF(K279=1,"Die Lärmrichtwerte nach dem Informationsblatt Luftwärmepumpen (2013) des Lebensministeriums sind einzuhalten!"," ")</f>
        <v xml:space="preserve"> </v>
      </c>
      <c r="D283" s="4"/>
      <c r="E283" s="4"/>
      <c r="F283" s="4"/>
      <c r="G283" s="4"/>
      <c r="H283" s="660" t="str">
        <f>IF(K279=1,"hier klicken","")</f>
        <v/>
      </c>
      <c r="I283" s="155"/>
      <c r="J283" s="122"/>
      <c r="K283" s="135"/>
      <c r="L283" s="135"/>
      <c r="M283" s="135"/>
      <c r="N283" s="135"/>
      <c r="O283" s="135"/>
      <c r="P283" s="778"/>
      <c r="Q283" s="778"/>
      <c r="R283" s="778"/>
      <c r="S283" s="778"/>
      <c r="T283" s="113"/>
      <c r="U283" s="113"/>
      <c r="V283" s="113"/>
      <c r="W283" s="140"/>
    </row>
    <row r="284" spans="1:26" s="93" customFormat="1" ht="5.25" hidden="1" customHeight="1" x14ac:dyDescent="0.2">
      <c r="A284" s="547"/>
      <c r="B284" s="4"/>
      <c r="C284" s="18"/>
      <c r="D284" s="4"/>
      <c r="E284" s="4"/>
      <c r="F284" s="4"/>
      <c r="G284" s="4"/>
      <c r="H284" s="4"/>
      <c r="I284" s="155"/>
      <c r="J284" s="122"/>
      <c r="K284" s="135"/>
      <c r="L284" s="135"/>
      <c r="M284" s="135"/>
      <c r="N284" s="135"/>
      <c r="O284" s="135"/>
      <c r="P284" s="778"/>
      <c r="Q284" s="778"/>
      <c r="R284" s="778"/>
      <c r="S284" s="778"/>
      <c r="T284" s="113"/>
      <c r="U284" s="113"/>
      <c r="V284" s="113"/>
      <c r="W284" s="140"/>
    </row>
    <row r="285" spans="1:26" s="93" customFormat="1" ht="16.5" hidden="1" customHeight="1" x14ac:dyDescent="0.2">
      <c r="A285" s="547"/>
      <c r="B285" s="272" t="s">
        <v>119</v>
      </c>
      <c r="C285" s="4"/>
      <c r="D285" s="4"/>
      <c r="E285" s="4"/>
      <c r="F285" s="4"/>
      <c r="G285" s="992"/>
      <c r="H285" s="992"/>
      <c r="I285" s="155"/>
      <c r="J285" s="122"/>
      <c r="K285" s="135"/>
      <c r="L285" s="135"/>
      <c r="M285" s="135"/>
      <c r="N285" s="135"/>
      <c r="O285" s="135"/>
      <c r="P285" s="778"/>
      <c r="Q285" s="778"/>
      <c r="R285" s="778"/>
      <c r="S285" s="778"/>
      <c r="T285" s="113"/>
      <c r="U285" s="113"/>
      <c r="V285" s="113"/>
      <c r="W285" s="140"/>
    </row>
    <row r="286" spans="1:26" s="93" customFormat="1" ht="17.100000000000001" hidden="1" customHeight="1" x14ac:dyDescent="0.2">
      <c r="A286" s="547"/>
      <c r="B286" s="4"/>
      <c r="C286" s="1006" t="str">
        <f>IF(AND(K279&gt;0,K279&lt;=2),"aus bewilligungsrechtlichen Gründen nicht möglich. Es ist ggf. ein schriftlicher Nachweis zu erbringen!",IF(AND(H254&lt;=35,Q282&gt;0,Q282&lt;=25),"technisch und bewilligungsrechtlich möglich.",IF(Q282&gt;25,"aufgrund des zu hohen HWB nicht sinnvoll."," ")))</f>
        <v xml:space="preserve"> </v>
      </c>
      <c r="D286" s="1006"/>
      <c r="E286" s="1006"/>
      <c r="F286" s="1006"/>
      <c r="G286" s="1006"/>
      <c r="H286" s="1006"/>
      <c r="I286" s="155"/>
      <c r="J286" s="122"/>
      <c r="K286" s="363"/>
      <c r="L286" s="135"/>
      <c r="M286" s="365"/>
      <c r="N286" s="135"/>
      <c r="O286" s="135"/>
      <c r="P286" s="778"/>
      <c r="Q286" s="778"/>
      <c r="R286" s="778"/>
      <c r="S286" s="778"/>
      <c r="T286" s="113"/>
      <c r="U286" s="113"/>
      <c r="V286" s="113"/>
      <c r="W286" s="140"/>
    </row>
    <row r="287" spans="1:26" s="93" customFormat="1" ht="9.75" hidden="1" customHeight="1" x14ac:dyDescent="0.2">
      <c r="A287" s="547"/>
      <c r="B287" s="4"/>
      <c r="C287" s="4"/>
      <c r="D287" s="4"/>
      <c r="E287" s="4"/>
      <c r="F287" s="4"/>
      <c r="G287" s="4"/>
      <c r="H287" s="4"/>
      <c r="I287" s="155"/>
      <c r="J287" s="122"/>
      <c r="K287" s="135"/>
      <c r="L287" s="135"/>
      <c r="M287" s="135"/>
      <c r="N287" s="135"/>
      <c r="O287" s="135"/>
      <c r="P287" s="778"/>
      <c r="Q287" s="778"/>
      <c r="R287" s="778"/>
      <c r="S287" s="778"/>
      <c r="T287" s="113"/>
      <c r="U287" s="113"/>
      <c r="V287" s="113"/>
      <c r="W287" s="140"/>
    </row>
    <row r="288" spans="1:26" s="93" customFormat="1" ht="16.5" hidden="1" customHeight="1" x14ac:dyDescent="0.25">
      <c r="A288" s="683" t="s">
        <v>134</v>
      </c>
      <c r="B288" s="1007" t="s">
        <v>133</v>
      </c>
      <c r="C288" s="1007"/>
      <c r="D288" s="1007"/>
      <c r="E288" s="1007"/>
      <c r="F288" s="1007"/>
      <c r="G288" s="1007"/>
      <c r="H288" s="1007"/>
      <c r="I288" s="155"/>
      <c r="J288" s="122"/>
      <c r="K288" s="135"/>
      <c r="L288" s="135"/>
      <c r="M288" s="135"/>
      <c r="N288" s="135"/>
      <c r="O288" s="135"/>
      <c r="P288" s="778"/>
      <c r="Q288" s="778"/>
      <c r="R288" s="778"/>
      <c r="S288" s="778"/>
      <c r="T288" s="113"/>
      <c r="U288" s="113"/>
      <c r="V288" s="113"/>
      <c r="W288" s="140"/>
    </row>
    <row r="289" spans="1:23" s="93" customFormat="1" ht="16.5" hidden="1" customHeight="1" x14ac:dyDescent="0.2">
      <c r="A289" s="552"/>
      <c r="B289" s="48" t="s">
        <v>135</v>
      </c>
      <c r="C289" s="48"/>
      <c r="D289" s="48"/>
      <c r="E289" s="137"/>
      <c r="F289" s="158"/>
      <c r="G289" s="157"/>
      <c r="H289" s="50"/>
      <c r="I289" s="155"/>
      <c r="J289" s="122"/>
      <c r="K289" s="122"/>
      <c r="L289" s="122"/>
      <c r="M289" s="122"/>
      <c r="N289" s="122"/>
      <c r="O289" s="122"/>
      <c r="P289" s="778"/>
      <c r="Q289" s="778"/>
      <c r="R289" s="778"/>
      <c r="S289" s="778"/>
      <c r="T289" s="113"/>
      <c r="U289" s="113"/>
      <c r="V289" s="113"/>
      <c r="W289" s="140"/>
    </row>
    <row r="290" spans="1:23" s="93" customFormat="1" ht="10.5" hidden="1" customHeight="1" x14ac:dyDescent="0.2">
      <c r="A290" s="552"/>
      <c r="B290" s="88"/>
      <c r="C290" s="88"/>
      <c r="D290" s="48"/>
      <c r="E290" s="48"/>
      <c r="F290" s="48"/>
      <c r="G290" s="159"/>
      <c r="H290" s="684"/>
      <c r="I290" s="160"/>
      <c r="J290" s="122"/>
      <c r="K290" s="122"/>
      <c r="L290" s="359"/>
      <c r="M290" s="122"/>
      <c r="N290" s="359"/>
      <c r="O290" s="122"/>
      <c r="P290" s="778"/>
      <c r="Q290" s="778"/>
      <c r="R290" s="778"/>
      <c r="S290" s="778"/>
      <c r="T290" s="113"/>
      <c r="U290" s="113"/>
      <c r="V290" s="113"/>
      <c r="W290" s="140"/>
    </row>
    <row r="291" spans="1:23" s="93" customFormat="1" ht="17.100000000000001" hidden="1" customHeight="1" x14ac:dyDescent="0.25">
      <c r="A291" s="302"/>
      <c r="B291" s="224"/>
      <c r="C291" s="96" t="str">
        <f>IF(COUNTIF($K$291:$K$294,"ja")&lt;1,"",VLOOKUP(1,$L$291:$M$294,2,FALSE))</f>
        <v>Biomasse</v>
      </c>
      <c r="D291" s="224"/>
      <c r="E291" s="224"/>
      <c r="F291" s="224"/>
      <c r="G291" s="224"/>
      <c r="H291" s="224"/>
      <c r="I291" s="155"/>
      <c r="J291" s="122"/>
      <c r="K291" s="366" t="str">
        <f>Q225</f>
        <v>nein</v>
      </c>
      <c r="L291" s="367">
        <f>IF(OR(K291=0,K291="nein"),0,1)</f>
        <v>0</v>
      </c>
      <c r="M291" s="368" t="str">
        <f>B215</f>
        <v>Solaranlage</v>
      </c>
      <c r="N291" s="355"/>
      <c r="O291" s="122"/>
      <c r="P291" s="778"/>
      <c r="Q291" s="778"/>
      <c r="R291" s="778"/>
      <c r="S291" s="778"/>
      <c r="T291" s="113"/>
      <c r="U291" s="113"/>
      <c r="V291" s="113"/>
      <c r="W291" s="140"/>
    </row>
    <row r="292" spans="1:23" s="93" customFormat="1" ht="17.100000000000001" hidden="1" customHeight="1" x14ac:dyDescent="0.2">
      <c r="A292" s="552"/>
      <c r="B292" s="96"/>
      <c r="C292" s="96" t="str">
        <f>IF(COUNTIF($K$291:$K$294,"ja")&lt;2,"",VLOOKUP(2,$L$291:$M$294,2,FALSE))</f>
        <v>Wärmepumpe</v>
      </c>
      <c r="D292" s="96"/>
      <c r="E292" s="96"/>
      <c r="F292" s="96"/>
      <c r="G292" s="96"/>
      <c r="H292" s="96"/>
      <c r="I292" s="155"/>
      <c r="J292" s="122"/>
      <c r="K292" s="369" t="str">
        <f>R239</f>
        <v>ja</v>
      </c>
      <c r="L292" s="367">
        <f>IF(OR(K292=0,K292="nein"),"",1+L291)</f>
        <v>1</v>
      </c>
      <c r="M292" s="135" t="str">
        <f>B228</f>
        <v>Biomasse</v>
      </c>
      <c r="N292" s="357"/>
      <c r="O292" s="122"/>
      <c r="P292" s="778"/>
      <c r="Q292" s="778"/>
      <c r="R292" s="778"/>
      <c r="S292" s="778"/>
      <c r="T292" s="113"/>
      <c r="U292" s="113"/>
      <c r="V292" s="113"/>
      <c r="W292" s="140"/>
    </row>
    <row r="293" spans="1:23" s="93" customFormat="1" ht="17.100000000000001" hidden="1" customHeight="1" x14ac:dyDescent="0.2">
      <c r="A293" s="552"/>
      <c r="B293" s="96"/>
      <c r="C293" s="96" t="str">
        <f>IF(COUNTIF($K$291:$K$294,"ja")&lt;3,"",VLOOKUP(4,$L$291:$M$294,2,FALSE))</f>
        <v/>
      </c>
      <c r="D293" s="96"/>
      <c r="E293" s="96"/>
      <c r="F293" s="96"/>
      <c r="G293" s="96"/>
      <c r="H293" s="188"/>
      <c r="I293" s="155"/>
      <c r="J293" s="122"/>
      <c r="K293" s="369" t="str">
        <f>R246</f>
        <v>nein</v>
      </c>
      <c r="L293" s="367" t="str">
        <f>IF(OR(K293=0,K293="nein"),"",1+SUM(L291:L292))</f>
        <v/>
      </c>
      <c r="M293" s="135" t="str">
        <f>B241</f>
        <v>Nah- oder Fernwärme</v>
      </c>
      <c r="N293" s="357"/>
      <c r="O293" s="122"/>
      <c r="P293" s="778"/>
      <c r="Q293" s="778"/>
      <c r="R293" s="778"/>
      <c r="S293" s="778"/>
      <c r="T293" s="113"/>
      <c r="U293" s="113"/>
      <c r="V293" s="113"/>
      <c r="W293" s="140"/>
    </row>
    <row r="294" spans="1:23" s="93" customFormat="1" ht="16.5" hidden="1" customHeight="1" x14ac:dyDescent="0.2">
      <c r="A294" s="552"/>
      <c r="B294" s="48"/>
      <c r="C294" s="96" t="str">
        <f>IF(COUNTIF($K$291:$K$294,"ja")&lt;4,"",VLOOKUP(8,$L$291:$M$294,2,FALSE))</f>
        <v/>
      </c>
      <c r="D294" s="96"/>
      <c r="E294" s="551"/>
      <c r="F294" s="96"/>
      <c r="G294" s="96"/>
      <c r="H294" s="188"/>
      <c r="I294" s="155"/>
      <c r="J294" s="122"/>
      <c r="K294" s="358" t="str">
        <f>S252</f>
        <v>ja</v>
      </c>
      <c r="L294" s="367">
        <f>IF(OR(K294=0,K294="nein"),"",1+SUM(L291:L293))</f>
        <v>2</v>
      </c>
      <c r="M294" s="359" t="str">
        <f>IF(O294="ja",B250,"")</f>
        <v>Wärmepumpe</v>
      </c>
      <c r="N294" s="362"/>
      <c r="O294" s="122" t="str">
        <f>IF(OR(L266="ja",L267="ja",L268="ja"),"ja",0)</f>
        <v>ja</v>
      </c>
      <c r="P294" s="778"/>
      <c r="Q294" s="778"/>
      <c r="R294" s="778"/>
      <c r="S294" s="778"/>
      <c r="T294" s="113"/>
      <c r="U294" s="113"/>
      <c r="V294" s="113"/>
      <c r="W294" s="140"/>
    </row>
    <row r="295" spans="1:23" s="93" customFormat="1" ht="7.5" hidden="1" customHeight="1" x14ac:dyDescent="0.2">
      <c r="A295" s="552"/>
      <c r="B295" s="48"/>
      <c r="C295" s="48"/>
      <c r="D295" s="48"/>
      <c r="E295" s="551"/>
      <c r="F295" s="96"/>
      <c r="G295" s="96"/>
      <c r="H295" s="188"/>
      <c r="I295" s="155"/>
      <c r="J295" s="122"/>
      <c r="K295" s="367"/>
      <c r="L295" s="368"/>
      <c r="M295" s="367"/>
      <c r="N295" s="122"/>
      <c r="O295" s="122"/>
      <c r="P295" s="778"/>
      <c r="Q295" s="778"/>
      <c r="R295" s="778"/>
      <c r="S295" s="778"/>
      <c r="T295" s="113"/>
      <c r="U295" s="113"/>
      <c r="V295" s="113"/>
      <c r="W295" s="140"/>
    </row>
    <row r="296" spans="1:23" s="93" customFormat="1" ht="44.25" hidden="1" customHeight="1" x14ac:dyDescent="0.2">
      <c r="A296" s="552"/>
      <c r="B296" s="1008" t="s">
        <v>248</v>
      </c>
      <c r="C296" s="1008"/>
      <c r="D296" s="1008"/>
      <c r="E296" s="1008"/>
      <c r="F296" s="1008"/>
      <c r="G296" s="1008"/>
      <c r="H296" s="1008"/>
      <c r="I296" s="155"/>
      <c r="J296" s="122"/>
      <c r="K296" s="367"/>
      <c r="L296" s="367"/>
      <c r="M296" s="367"/>
      <c r="N296" s="122"/>
      <c r="O296" s="122"/>
      <c r="P296" s="778"/>
      <c r="Q296" s="778"/>
      <c r="R296" s="778"/>
      <c r="S296" s="778"/>
      <c r="T296" s="113"/>
      <c r="U296" s="113"/>
      <c r="V296" s="113"/>
      <c r="W296" s="140"/>
    </row>
    <row r="297" spans="1:23" s="93" customFormat="1" ht="7.5" hidden="1" customHeight="1" x14ac:dyDescent="0.2">
      <c r="A297" s="552"/>
      <c r="B297" s="995"/>
      <c r="C297" s="995"/>
      <c r="D297" s="995"/>
      <c r="E297" s="995"/>
      <c r="F297" s="995"/>
      <c r="G297" s="995"/>
      <c r="H297" s="995"/>
      <c r="I297" s="155"/>
      <c r="J297" s="122"/>
      <c r="K297" s="122"/>
      <c r="L297" s="122"/>
      <c r="M297" s="122"/>
      <c r="N297" s="122"/>
      <c r="O297" s="122"/>
      <c r="P297" s="778"/>
      <c r="Q297" s="778"/>
      <c r="R297" s="778"/>
      <c r="S297" s="778"/>
      <c r="T297" s="113"/>
      <c r="U297" s="113"/>
      <c r="V297" s="113"/>
      <c r="W297" s="140"/>
    </row>
    <row r="298" spans="1:23" s="93" customFormat="1" ht="17.100000000000001" hidden="1" customHeight="1" x14ac:dyDescent="0.2">
      <c r="A298" s="552"/>
      <c r="B298" s="162"/>
      <c r="C298" s="162"/>
      <c r="D298" s="48"/>
      <c r="E298" s="551"/>
      <c r="F298" s="1005"/>
      <c r="G298" s="1005"/>
      <c r="H298" s="1005"/>
      <c r="I298" s="155"/>
      <c r="J298" s="122"/>
      <c r="K298" s="122"/>
      <c r="L298" s="122"/>
      <c r="M298" s="122"/>
      <c r="N298" s="122"/>
      <c r="O298" s="122"/>
      <c r="P298" s="778"/>
      <c r="Q298" s="778"/>
      <c r="R298" s="778"/>
      <c r="S298" s="778"/>
      <c r="T298" s="113"/>
      <c r="U298" s="113"/>
      <c r="V298" s="113"/>
      <c r="W298" s="140"/>
    </row>
    <row r="299" spans="1:23" s="93" customFormat="1" ht="17.100000000000001" customHeight="1" x14ac:dyDescent="0.2">
      <c r="A299" s="552"/>
      <c r="B299" s="162"/>
      <c r="C299" s="162"/>
      <c r="D299" s="48"/>
      <c r="E299" s="551"/>
      <c r="F299" s="1005"/>
      <c r="G299" s="1005"/>
      <c r="H299" s="1005"/>
      <c r="I299" s="155"/>
      <c r="J299" s="122"/>
      <c r="K299" s="122"/>
      <c r="L299" s="122"/>
      <c r="M299" s="122"/>
      <c r="N299" s="122"/>
      <c r="O299" s="122"/>
      <c r="P299" s="778"/>
      <c r="Q299" s="778"/>
      <c r="R299" s="778"/>
      <c r="S299" s="778"/>
      <c r="T299" s="113"/>
      <c r="U299" s="113"/>
      <c r="V299" s="113"/>
      <c r="W299" s="140"/>
    </row>
    <row r="300" spans="1:23" s="93" customFormat="1" ht="17.100000000000001" customHeight="1" x14ac:dyDescent="0.2">
      <c r="A300" s="161"/>
      <c r="B300" s="162"/>
      <c r="C300" s="162"/>
      <c r="D300" s="48"/>
      <c r="E300" s="501"/>
      <c r="F300" s="1005"/>
      <c r="G300" s="1005"/>
      <c r="H300" s="1005"/>
      <c r="I300" s="155"/>
      <c r="J300" s="122"/>
      <c r="K300" s="122"/>
      <c r="L300" s="122"/>
      <c r="M300" s="122"/>
      <c r="N300" s="122"/>
      <c r="O300" s="122"/>
      <c r="P300" s="778"/>
      <c r="Q300" s="778"/>
      <c r="R300" s="778"/>
      <c r="S300" s="778"/>
      <c r="T300" s="113"/>
      <c r="U300" s="113"/>
      <c r="V300" s="113"/>
      <c r="W300" s="140"/>
    </row>
    <row r="301" spans="1:23" s="93" customFormat="1" ht="17.100000000000001" customHeight="1" x14ac:dyDescent="0.2">
      <c r="A301" s="161"/>
      <c r="B301" s="48"/>
      <c r="C301" s="48"/>
      <c r="D301" s="48"/>
      <c r="E301" s="501"/>
      <c r="F301" s="1005"/>
      <c r="G301" s="1005"/>
      <c r="H301" s="1005"/>
      <c r="I301" s="155"/>
      <c r="J301" s="122"/>
      <c r="K301" s="122"/>
      <c r="L301" s="122"/>
      <c r="M301" s="122"/>
      <c r="N301" s="122"/>
      <c r="O301" s="122"/>
      <c r="P301" s="778"/>
      <c r="Q301" s="778"/>
      <c r="R301" s="778"/>
      <c r="S301" s="778"/>
      <c r="T301" s="113"/>
      <c r="U301" s="113"/>
      <c r="V301" s="113"/>
      <c r="W301" s="140"/>
    </row>
    <row r="302" spans="1:23" s="93" customFormat="1" ht="17.100000000000001" customHeight="1" x14ac:dyDescent="0.25">
      <c r="A302" s="163"/>
      <c r="B302" s="994"/>
      <c r="C302" s="994"/>
      <c r="D302" s="994"/>
      <c r="E302" s="994"/>
      <c r="F302" s="994"/>
      <c r="G302" s="994"/>
      <c r="H302" s="994"/>
      <c r="I302" s="155"/>
      <c r="J302" s="122"/>
      <c r="K302" s="122"/>
      <c r="L302" s="122"/>
      <c r="M302" s="122"/>
      <c r="N302" s="122"/>
      <c r="O302" s="122"/>
      <c r="P302" s="778"/>
      <c r="Q302" s="778"/>
      <c r="R302" s="778"/>
      <c r="S302" s="778"/>
      <c r="T302" s="113"/>
      <c r="U302" s="113"/>
      <c r="V302" s="113"/>
      <c r="W302" s="140"/>
    </row>
    <row r="303" spans="1:23" s="93" customFormat="1" ht="17.100000000000001" customHeight="1" x14ac:dyDescent="0.2">
      <c r="A303" s="161"/>
      <c r="B303" s="48"/>
      <c r="C303" s="48"/>
      <c r="D303" s="48"/>
      <c r="E303" s="48"/>
      <c r="F303" s="48"/>
      <c r="G303" s="48"/>
      <c r="H303" s="48"/>
      <c r="I303" s="155"/>
      <c r="J303" s="122"/>
      <c r="K303" s="122"/>
      <c r="L303" s="122"/>
      <c r="M303" s="122"/>
      <c r="N303" s="122"/>
      <c r="O303" s="122"/>
      <c r="P303" s="778"/>
      <c r="Q303" s="778"/>
      <c r="R303" s="778"/>
      <c r="S303" s="778"/>
      <c r="T303" s="113"/>
      <c r="U303" s="113"/>
      <c r="V303" s="113"/>
      <c r="W303" s="140"/>
    </row>
    <row r="304" spans="1:23" s="93" customFormat="1" ht="17.100000000000001" customHeight="1" x14ac:dyDescent="0.2">
      <c r="A304" s="161"/>
      <c r="B304" s="48"/>
      <c r="C304" s="48"/>
      <c r="D304" s="48"/>
      <c r="E304" s="48"/>
      <c r="F304" s="48"/>
      <c r="G304" s="48"/>
      <c r="H304" s="48"/>
      <c r="I304" s="155"/>
      <c r="J304" s="122"/>
      <c r="K304" s="122"/>
      <c r="L304" s="122"/>
      <c r="M304" s="122"/>
      <c r="N304" s="122"/>
      <c r="O304" s="122"/>
      <c r="P304" s="778"/>
      <c r="Q304" s="778"/>
      <c r="R304" s="778"/>
      <c r="S304" s="778"/>
      <c r="T304" s="113"/>
      <c r="U304" s="113"/>
      <c r="V304" s="113"/>
      <c r="W304" s="140"/>
    </row>
    <row r="305" spans="1:23" s="93" customFormat="1" ht="17.100000000000001" customHeight="1" x14ac:dyDescent="0.2">
      <c r="A305" s="161"/>
      <c r="B305" s="48"/>
      <c r="C305" s="48"/>
      <c r="D305" s="48"/>
      <c r="E305" s="48"/>
      <c r="F305" s="48"/>
      <c r="G305" s="48"/>
      <c r="H305" s="48"/>
      <c r="I305" s="155"/>
      <c r="J305" s="122"/>
      <c r="K305" s="122"/>
      <c r="L305" s="122"/>
      <c r="M305" s="122"/>
      <c r="N305" s="122"/>
      <c r="O305" s="122"/>
      <c r="P305" s="778"/>
      <c r="Q305" s="778"/>
      <c r="R305" s="778"/>
      <c r="S305" s="778"/>
      <c r="T305" s="113"/>
      <c r="U305" s="113"/>
      <c r="V305" s="113"/>
      <c r="W305" s="140"/>
    </row>
    <row r="306" spans="1:23" s="93" customFormat="1" ht="17.100000000000001" customHeight="1" x14ac:dyDescent="0.2">
      <c r="A306" s="161"/>
      <c r="B306" s="48"/>
      <c r="C306" s="48"/>
      <c r="D306" s="48"/>
      <c r="E306" s="48"/>
      <c r="F306" s="48"/>
      <c r="G306" s="48"/>
      <c r="H306" s="48"/>
      <c r="I306" s="155"/>
      <c r="J306" s="122"/>
      <c r="K306" s="122"/>
      <c r="L306" s="122"/>
      <c r="M306" s="122"/>
      <c r="N306" s="122"/>
      <c r="O306" s="122"/>
      <c r="P306" s="778"/>
      <c r="Q306" s="778"/>
      <c r="R306" s="778"/>
      <c r="S306" s="778"/>
      <c r="T306" s="113"/>
      <c r="U306" s="113"/>
      <c r="V306" s="113"/>
      <c r="W306" s="140"/>
    </row>
    <row r="307" spans="1:23" s="93" customFormat="1" ht="17.100000000000001" customHeight="1" x14ac:dyDescent="0.2">
      <c r="A307" s="161"/>
      <c r="B307" s="164"/>
      <c r="C307" s="164"/>
      <c r="D307" s="48"/>
      <c r="E307" s="48"/>
      <c r="F307" s="48"/>
      <c r="G307" s="48"/>
      <c r="H307" s="48"/>
      <c r="I307" s="155"/>
      <c r="J307" s="122"/>
      <c r="K307" s="122"/>
      <c r="L307" s="122"/>
      <c r="M307" s="122"/>
      <c r="N307" s="122"/>
      <c r="O307" s="122"/>
      <c r="P307" s="778"/>
      <c r="Q307" s="778"/>
      <c r="R307" s="778"/>
      <c r="S307" s="778"/>
      <c r="T307" s="113"/>
      <c r="U307" s="113"/>
      <c r="V307" s="113"/>
      <c r="W307" s="140"/>
    </row>
    <row r="308" spans="1:23" s="93" customFormat="1" ht="17.100000000000001" customHeight="1" x14ac:dyDescent="0.2">
      <c r="A308" s="161"/>
      <c r="B308" s="164"/>
      <c r="C308" s="164"/>
      <c r="D308" s="48"/>
      <c r="E308" s="48"/>
      <c r="F308" s="48"/>
      <c r="G308" s="48"/>
      <c r="H308" s="48"/>
      <c r="I308" s="155"/>
      <c r="J308" s="122"/>
      <c r="K308" s="122"/>
      <c r="L308" s="122"/>
      <c r="M308" s="122"/>
      <c r="N308" s="122"/>
      <c r="O308" s="122"/>
      <c r="P308" s="778"/>
      <c r="Q308" s="778"/>
      <c r="R308" s="778"/>
      <c r="S308" s="778"/>
      <c r="T308" s="113"/>
      <c r="U308" s="113"/>
      <c r="V308" s="113"/>
      <c r="W308" s="140"/>
    </row>
    <row r="309" spans="1:23" s="93" customFormat="1" ht="17.100000000000001" customHeight="1" x14ac:dyDescent="0.2">
      <c r="A309" s="161"/>
      <c r="B309" s="48"/>
      <c r="C309" s="48"/>
      <c r="D309" s="48"/>
      <c r="E309" s="48"/>
      <c r="F309" s="48"/>
      <c r="G309" s="48"/>
      <c r="H309" s="48"/>
      <c r="I309" s="155"/>
      <c r="J309" s="122"/>
      <c r="K309" s="122"/>
      <c r="L309" s="122"/>
      <c r="M309" s="122"/>
      <c r="N309" s="122"/>
      <c r="O309" s="122"/>
      <c r="P309" s="778"/>
      <c r="Q309" s="778"/>
      <c r="R309" s="778"/>
      <c r="S309" s="778"/>
      <c r="T309" s="113"/>
      <c r="U309" s="113"/>
      <c r="V309" s="113"/>
      <c r="W309" s="140"/>
    </row>
    <row r="310" spans="1:23" s="93" customFormat="1" ht="17.100000000000001" customHeight="1" x14ac:dyDescent="0.2">
      <c r="A310" s="161"/>
      <c r="B310" s="48"/>
      <c r="C310" s="48"/>
      <c r="D310" s="48"/>
      <c r="E310" s="48"/>
      <c r="F310" s="48"/>
      <c r="G310" s="48"/>
      <c r="H310" s="48"/>
      <c r="I310" s="155"/>
      <c r="J310" s="122"/>
      <c r="K310" s="122"/>
      <c r="L310" s="122"/>
      <c r="M310" s="122"/>
      <c r="N310" s="122"/>
      <c r="O310" s="122"/>
      <c r="P310" s="778"/>
      <c r="Q310" s="778"/>
      <c r="R310" s="778"/>
      <c r="S310" s="778"/>
      <c r="T310" s="113"/>
      <c r="U310" s="113"/>
      <c r="V310" s="113"/>
      <c r="W310" s="140"/>
    </row>
    <row r="311" spans="1:23" s="93" customFormat="1" ht="17.100000000000001" customHeight="1" x14ac:dyDescent="0.2">
      <c r="A311" s="161"/>
      <c r="B311" s="48"/>
      <c r="C311" s="48"/>
      <c r="D311" s="48"/>
      <c r="E311" s="48"/>
      <c r="F311" s="48"/>
      <c r="G311" s="48"/>
      <c r="H311" s="48"/>
      <c r="I311" s="155"/>
      <c r="J311" s="122"/>
      <c r="K311" s="122"/>
      <c r="L311" s="122"/>
      <c r="M311" s="122"/>
      <c r="N311" s="122"/>
      <c r="O311" s="122"/>
      <c r="P311" s="778"/>
      <c r="Q311" s="778"/>
      <c r="R311" s="778"/>
      <c r="S311" s="778"/>
      <c r="T311" s="113"/>
      <c r="U311" s="113"/>
      <c r="V311" s="113"/>
      <c r="W311" s="140"/>
    </row>
    <row r="312" spans="1:23" s="93" customFormat="1" ht="17.100000000000001" customHeight="1" x14ac:dyDescent="0.2">
      <c r="A312" s="161"/>
      <c r="B312" s="48"/>
      <c r="C312" s="48"/>
      <c r="D312" s="48"/>
      <c r="E312" s="48"/>
      <c r="F312" s="48"/>
      <c r="G312" s="48"/>
      <c r="H312" s="48"/>
      <c r="I312" s="155"/>
      <c r="J312" s="122"/>
      <c r="K312" s="122"/>
      <c r="L312" s="122"/>
      <c r="M312" s="122"/>
      <c r="N312" s="122"/>
      <c r="O312" s="122"/>
      <c r="P312" s="778"/>
      <c r="Q312" s="778"/>
      <c r="R312" s="778"/>
      <c r="S312" s="778"/>
      <c r="T312" s="113"/>
      <c r="U312" s="113"/>
      <c r="V312" s="113"/>
      <c r="W312" s="140"/>
    </row>
    <row r="313" spans="1:23" s="93" customFormat="1" ht="17.100000000000001" customHeight="1" x14ac:dyDescent="0.2">
      <c r="A313" s="161"/>
      <c r="B313" s="48"/>
      <c r="C313" s="48"/>
      <c r="D313" s="48"/>
      <c r="E313" s="48"/>
      <c r="F313" s="48"/>
      <c r="G313" s="48"/>
      <c r="H313" s="48"/>
      <c r="I313" s="155"/>
      <c r="J313" s="122"/>
      <c r="K313" s="122"/>
      <c r="L313" s="122"/>
      <c r="M313" s="122"/>
      <c r="N313" s="122"/>
      <c r="O313" s="122"/>
      <c r="P313" s="778"/>
      <c r="Q313" s="778"/>
      <c r="R313" s="778"/>
      <c r="S313" s="778"/>
      <c r="T313" s="113"/>
      <c r="U313" s="113"/>
      <c r="V313" s="113"/>
      <c r="W313" s="140"/>
    </row>
    <row r="314" spans="1:23" s="93" customFormat="1" ht="17.100000000000001" customHeight="1" x14ac:dyDescent="0.2">
      <c r="A314" s="161"/>
      <c r="B314" s="48"/>
      <c r="C314" s="48"/>
      <c r="D314" s="48"/>
      <c r="E314" s="48"/>
      <c r="F314" s="992"/>
      <c r="G314" s="992"/>
      <c r="H314" s="992"/>
      <c r="I314" s="155"/>
      <c r="J314" s="122"/>
      <c r="K314" s="122"/>
      <c r="L314" s="122"/>
      <c r="M314" s="122"/>
      <c r="N314" s="122"/>
      <c r="O314" s="122"/>
      <c r="P314" s="778"/>
      <c r="Q314" s="778"/>
      <c r="R314" s="778"/>
      <c r="S314" s="778"/>
      <c r="T314" s="113"/>
      <c r="U314" s="113"/>
      <c r="V314" s="113"/>
      <c r="W314" s="140"/>
    </row>
    <row r="315" spans="1:23" s="93" customFormat="1" ht="17.100000000000001" customHeight="1" x14ac:dyDescent="0.2">
      <c r="A315" s="176"/>
      <c r="B315" s="48"/>
      <c r="C315" s="48"/>
      <c r="D315" s="48"/>
      <c r="E315" s="48"/>
      <c r="F315" s="48"/>
      <c r="G315" s="48"/>
      <c r="H315" s="48"/>
      <c r="I315" s="155"/>
      <c r="J315" s="122"/>
      <c r="K315" s="122"/>
      <c r="L315" s="122"/>
      <c r="M315" s="122"/>
      <c r="N315" s="122"/>
      <c r="O315" s="122"/>
      <c r="P315" s="778"/>
      <c r="Q315" s="778"/>
      <c r="R315" s="778"/>
      <c r="S315" s="778"/>
      <c r="T315" s="113"/>
      <c r="U315" s="113"/>
      <c r="V315" s="113"/>
      <c r="W315" s="140"/>
    </row>
    <row r="316" spans="1:23" s="93" customFormat="1" ht="17.100000000000001" customHeight="1" x14ac:dyDescent="0.2">
      <c r="A316" s="176"/>
      <c r="B316" s="48"/>
      <c r="C316" s="48"/>
      <c r="D316" s="48"/>
      <c r="E316" s="48"/>
      <c r="F316" s="48"/>
      <c r="G316" s="48"/>
      <c r="H316" s="48"/>
      <c r="I316" s="155"/>
      <c r="J316" s="122"/>
      <c r="K316" s="122"/>
      <c r="L316" s="122"/>
      <c r="M316" s="122"/>
      <c r="N316" s="122"/>
      <c r="O316" s="122"/>
      <c r="P316" s="778"/>
      <c r="Q316" s="778"/>
      <c r="R316" s="778"/>
      <c r="S316" s="778"/>
      <c r="T316" s="113"/>
      <c r="U316" s="113"/>
      <c r="V316" s="113"/>
      <c r="W316" s="140"/>
    </row>
    <row r="317" spans="1:23" s="93" customFormat="1" ht="17.100000000000001" customHeight="1" x14ac:dyDescent="0.25">
      <c r="A317" s="163"/>
      <c r="B317" s="994"/>
      <c r="C317" s="994"/>
      <c r="D317" s="994"/>
      <c r="E317" s="994"/>
      <c r="F317" s="994"/>
      <c r="G317" s="994"/>
      <c r="H317" s="994"/>
      <c r="I317" s="155"/>
      <c r="J317" s="122"/>
      <c r="K317" s="122"/>
      <c r="L317" s="122"/>
      <c r="M317" s="122"/>
      <c r="N317" s="122"/>
      <c r="O317" s="122"/>
      <c r="P317" s="778"/>
      <c r="Q317" s="778"/>
      <c r="R317" s="778"/>
      <c r="S317" s="778"/>
      <c r="T317" s="113"/>
      <c r="U317" s="113"/>
      <c r="V317" s="113"/>
      <c r="W317" s="140"/>
    </row>
    <row r="318" spans="1:23" s="93" customFormat="1" ht="17.100000000000001" customHeight="1" x14ac:dyDescent="0.2">
      <c r="A318" s="161"/>
      <c r="B318" s="48"/>
      <c r="C318" s="48"/>
      <c r="D318" s="48"/>
      <c r="E318" s="48"/>
      <c r="F318" s="48"/>
      <c r="G318" s="48"/>
      <c r="H318" s="48"/>
      <c r="I318" s="155"/>
      <c r="J318" s="122"/>
      <c r="K318" s="122"/>
      <c r="L318" s="122"/>
      <c r="M318" s="122"/>
      <c r="N318" s="122"/>
      <c r="O318" s="122"/>
      <c r="P318" s="778"/>
      <c r="Q318" s="778"/>
      <c r="R318" s="778"/>
      <c r="S318" s="778"/>
      <c r="T318" s="113"/>
      <c r="U318" s="113"/>
      <c r="V318" s="113"/>
      <c r="W318" s="140"/>
    </row>
    <row r="319" spans="1:23" s="93" customFormat="1" ht="17.100000000000001" customHeight="1" x14ac:dyDescent="0.2">
      <c r="A319" s="161"/>
      <c r="B319" s="48"/>
      <c r="C319" s="48"/>
      <c r="D319" s="48"/>
      <c r="E319" s="992"/>
      <c r="F319" s="992"/>
      <c r="G319" s="992"/>
      <c r="H319" s="992"/>
      <c r="I319" s="155"/>
      <c r="J319" s="122"/>
      <c r="K319" s="122"/>
      <c r="L319" s="122"/>
      <c r="M319" s="122"/>
      <c r="N319" s="122"/>
      <c r="O319" s="122"/>
      <c r="P319" s="778"/>
      <c r="Q319" s="778"/>
      <c r="R319" s="778"/>
      <c r="S319" s="778"/>
      <c r="T319" s="113"/>
      <c r="U319" s="113"/>
      <c r="V319" s="113"/>
      <c r="W319" s="140"/>
    </row>
    <row r="320" spans="1:23" s="93" customFormat="1" ht="17.100000000000001" customHeight="1" x14ac:dyDescent="0.2">
      <c r="A320" s="161"/>
      <c r="B320" s="48"/>
      <c r="C320" s="48"/>
      <c r="D320" s="48"/>
      <c r="E320" s="992"/>
      <c r="F320" s="992"/>
      <c r="G320" s="992"/>
      <c r="H320" s="992"/>
      <c r="I320" s="155"/>
      <c r="J320" s="122"/>
      <c r="K320" s="122"/>
      <c r="L320" s="122"/>
      <c r="M320" s="122"/>
      <c r="N320" s="122"/>
      <c r="O320" s="122"/>
      <c r="P320" s="778"/>
      <c r="Q320" s="778"/>
      <c r="R320" s="778"/>
      <c r="S320" s="778"/>
      <c r="T320" s="113"/>
      <c r="U320" s="113"/>
      <c r="V320" s="113"/>
      <c r="W320" s="140"/>
    </row>
    <row r="321" spans="1:23" s="93" customFormat="1" ht="17.100000000000001" customHeight="1" x14ac:dyDescent="0.2">
      <c r="A321" s="161"/>
      <c r="B321" s="48"/>
      <c r="C321" s="48"/>
      <c r="D321" s="48"/>
      <c r="E321" s="992"/>
      <c r="F321" s="992"/>
      <c r="G321" s="992"/>
      <c r="H321" s="992"/>
      <c r="I321" s="155"/>
      <c r="J321" s="122"/>
      <c r="K321" s="122"/>
      <c r="L321" s="122"/>
      <c r="M321" s="122"/>
      <c r="N321" s="122"/>
      <c r="O321" s="122"/>
      <c r="P321" s="778"/>
      <c r="Q321" s="778"/>
      <c r="R321" s="778"/>
      <c r="S321" s="778"/>
      <c r="T321" s="113"/>
      <c r="U321" s="113"/>
      <c r="V321" s="113"/>
      <c r="W321" s="140"/>
    </row>
    <row r="322" spans="1:23" s="93" customFormat="1" ht="17.100000000000001" customHeight="1" x14ac:dyDescent="0.2">
      <c r="A322" s="161"/>
      <c r="B322" s="48"/>
      <c r="C322" s="48"/>
      <c r="D322" s="48"/>
      <c r="E322" s="992"/>
      <c r="F322" s="992"/>
      <c r="G322" s="992"/>
      <c r="H322" s="992"/>
      <c r="I322" s="155"/>
      <c r="J322" s="122"/>
      <c r="K322" s="122"/>
      <c r="L322" s="122"/>
      <c r="M322" s="122"/>
      <c r="N322" s="122"/>
      <c r="O322" s="122"/>
      <c r="P322" s="778"/>
      <c r="Q322" s="778"/>
      <c r="R322" s="778"/>
      <c r="S322" s="778"/>
      <c r="T322" s="113"/>
      <c r="U322" s="113"/>
      <c r="V322" s="113"/>
      <c r="W322" s="140"/>
    </row>
    <row r="323" spans="1:23" s="93" customFormat="1" ht="17.100000000000001" customHeight="1" x14ac:dyDescent="0.2">
      <c r="A323" s="161"/>
      <c r="B323" s="48"/>
      <c r="C323" s="48"/>
      <c r="D323" s="48"/>
      <c r="E323" s="502"/>
      <c r="F323" s="507"/>
      <c r="G323" s="992"/>
      <c r="H323" s="992"/>
      <c r="I323" s="155"/>
      <c r="J323" s="122"/>
      <c r="K323" s="122"/>
      <c r="L323" s="122"/>
      <c r="M323" s="122"/>
      <c r="N323" s="122"/>
      <c r="O323" s="122"/>
      <c r="P323" s="778"/>
      <c r="Q323" s="778"/>
      <c r="R323" s="778"/>
      <c r="S323" s="778"/>
      <c r="T323" s="113"/>
      <c r="U323" s="113"/>
      <c r="V323" s="113"/>
      <c r="W323" s="140"/>
    </row>
    <row r="324" spans="1:23" s="93" customFormat="1" ht="17.100000000000001" customHeight="1" x14ac:dyDescent="0.2">
      <c r="A324" s="161"/>
      <c r="B324" s="48"/>
      <c r="C324" s="48"/>
      <c r="D324" s="48"/>
      <c r="E324" s="502"/>
      <c r="F324" s="507"/>
      <c r="G324" s="502"/>
      <c r="H324" s="502"/>
      <c r="I324" s="155"/>
      <c r="J324" s="122"/>
      <c r="K324" s="122"/>
      <c r="L324" s="122"/>
      <c r="M324" s="122"/>
      <c r="N324" s="122"/>
      <c r="O324" s="122"/>
      <c r="P324" s="778"/>
      <c r="Q324" s="778"/>
      <c r="R324" s="778"/>
      <c r="S324" s="778"/>
      <c r="T324" s="113"/>
      <c r="U324" s="113"/>
      <c r="V324" s="113"/>
      <c r="W324" s="140"/>
    </row>
    <row r="325" spans="1:23" s="93" customFormat="1" ht="17.100000000000001" customHeight="1" x14ac:dyDescent="0.25">
      <c r="A325" s="163"/>
      <c r="B325" s="994"/>
      <c r="C325" s="994"/>
      <c r="D325" s="994"/>
      <c r="E325" s="994"/>
      <c r="F325" s="994"/>
      <c r="G325" s="994"/>
      <c r="H325" s="994"/>
      <c r="I325" s="155"/>
      <c r="J325" s="122"/>
      <c r="K325" s="122"/>
      <c r="L325" s="122"/>
      <c r="M325" s="122"/>
      <c r="N325" s="122"/>
      <c r="O325" s="122"/>
      <c r="P325" s="778"/>
      <c r="Q325" s="778"/>
      <c r="R325" s="778"/>
      <c r="S325" s="778"/>
      <c r="T325" s="113"/>
      <c r="U325" s="113"/>
      <c r="V325" s="113"/>
      <c r="W325" s="140"/>
    </row>
    <row r="326" spans="1:23" s="93" customFormat="1" ht="17.100000000000001" customHeight="1" x14ac:dyDescent="0.2">
      <c r="A326" s="161"/>
      <c r="B326" s="177"/>
      <c r="C326" s="177"/>
      <c r="D326" s="48"/>
      <c r="E326" s="48"/>
      <c r="F326" s="48"/>
      <c r="G326" s="48"/>
      <c r="H326" s="48"/>
      <c r="I326" s="155"/>
      <c r="J326" s="122"/>
      <c r="K326" s="122"/>
      <c r="L326" s="122"/>
      <c r="M326" s="122"/>
      <c r="N326" s="122"/>
      <c r="O326" s="122"/>
      <c r="P326" s="778"/>
      <c r="Q326" s="778"/>
      <c r="R326" s="778"/>
      <c r="S326" s="778"/>
      <c r="T326" s="113"/>
      <c r="U326" s="113"/>
      <c r="V326" s="113"/>
      <c r="W326" s="140"/>
    </row>
    <row r="327" spans="1:23" s="93" customFormat="1" ht="17.100000000000001" customHeight="1" x14ac:dyDescent="0.2">
      <c r="A327" s="161"/>
      <c r="B327" s="48"/>
      <c r="C327" s="48"/>
      <c r="D327" s="48"/>
      <c r="E327" s="992"/>
      <c r="F327" s="992"/>
      <c r="G327" s="992"/>
      <c r="H327" s="992"/>
      <c r="I327" s="155"/>
      <c r="J327" s="122"/>
      <c r="K327" s="122"/>
      <c r="L327" s="122"/>
      <c r="M327" s="122"/>
      <c r="N327" s="122"/>
      <c r="O327" s="122"/>
      <c r="P327" s="778"/>
      <c r="Q327" s="778"/>
      <c r="R327" s="778"/>
      <c r="S327" s="778"/>
      <c r="T327" s="113"/>
      <c r="U327" s="113"/>
      <c r="V327" s="113"/>
      <c r="W327" s="140"/>
    </row>
    <row r="328" spans="1:23" s="93" customFormat="1" ht="17.100000000000001" customHeight="1" x14ac:dyDescent="0.2">
      <c r="A328" s="161"/>
      <c r="B328" s="48"/>
      <c r="C328" s="48"/>
      <c r="D328" s="48"/>
      <c r="E328" s="992"/>
      <c r="F328" s="992"/>
      <c r="G328" s="992"/>
      <c r="H328" s="992"/>
      <c r="I328" s="155"/>
      <c r="J328" s="122"/>
      <c r="K328" s="122"/>
      <c r="L328" s="122"/>
      <c r="M328" s="122"/>
      <c r="N328" s="122"/>
      <c r="O328" s="122"/>
      <c r="P328" s="778"/>
      <c r="Q328" s="778"/>
      <c r="R328" s="778"/>
      <c r="S328" s="778"/>
      <c r="T328" s="113"/>
      <c r="U328" s="113"/>
      <c r="V328" s="113"/>
      <c r="W328" s="140"/>
    </row>
    <row r="329" spans="1:23" s="93" customFormat="1" ht="17.100000000000001" customHeight="1" x14ac:dyDescent="0.2">
      <c r="A329" s="161"/>
      <c r="B329" s="48"/>
      <c r="C329" s="48"/>
      <c r="D329" s="48"/>
      <c r="E329" s="992"/>
      <c r="F329" s="1003"/>
      <c r="G329" s="1003"/>
      <c r="H329" s="1003"/>
      <c r="I329" s="155"/>
      <c r="J329" s="122"/>
      <c r="K329" s="122"/>
      <c r="L329" s="122"/>
      <c r="M329" s="122"/>
      <c r="N329" s="122"/>
      <c r="O329" s="122"/>
      <c r="P329" s="778"/>
      <c r="Q329" s="778"/>
      <c r="R329" s="778"/>
      <c r="S329" s="778"/>
      <c r="T329" s="113"/>
      <c r="U329" s="113"/>
      <c r="V329" s="113"/>
      <c r="W329" s="140"/>
    </row>
    <row r="330" spans="1:23" s="93" customFormat="1" ht="17.100000000000001" customHeight="1" x14ac:dyDescent="0.2">
      <c r="A330" s="161"/>
      <c r="B330" s="48"/>
      <c r="C330" s="48"/>
      <c r="D330" s="48"/>
      <c r="E330" s="992"/>
      <c r="F330" s="1003"/>
      <c r="G330" s="1003"/>
      <c r="H330" s="1003"/>
      <c r="I330" s="155"/>
      <c r="J330" s="122"/>
      <c r="K330" s="122"/>
      <c r="L330" s="122"/>
      <c r="M330" s="122"/>
      <c r="N330" s="122"/>
      <c r="O330" s="122"/>
      <c r="P330" s="778"/>
      <c r="Q330" s="778"/>
      <c r="R330" s="778"/>
      <c r="S330" s="778"/>
      <c r="T330" s="113"/>
      <c r="U330" s="113"/>
      <c r="V330" s="113"/>
      <c r="W330" s="140"/>
    </row>
    <row r="331" spans="1:23" s="93" customFormat="1" ht="17.100000000000001" customHeight="1" x14ac:dyDescent="0.2">
      <c r="A331" s="161"/>
      <c r="B331" s="48"/>
      <c r="C331" s="48"/>
      <c r="D331" s="48"/>
      <c r="E331" s="992"/>
      <c r="F331" s="1003"/>
      <c r="G331" s="1003"/>
      <c r="H331" s="1003"/>
      <c r="I331" s="155"/>
      <c r="J331" s="122"/>
      <c r="K331" s="122"/>
      <c r="L331" s="122"/>
      <c r="M331" s="122"/>
      <c r="N331" s="122"/>
      <c r="O331" s="122"/>
      <c r="P331" s="778"/>
      <c r="Q331" s="778"/>
      <c r="R331" s="778"/>
      <c r="S331" s="778"/>
      <c r="T331" s="113"/>
      <c r="U331" s="113"/>
      <c r="V331" s="113"/>
      <c r="W331" s="140"/>
    </row>
    <row r="332" spans="1:23" s="93" customFormat="1" ht="17.100000000000001" customHeight="1" x14ac:dyDescent="0.2">
      <c r="A332" s="161"/>
      <c r="B332" s="48"/>
      <c r="C332" s="48"/>
      <c r="D332" s="48"/>
      <c r="E332" s="992"/>
      <c r="F332" s="1003"/>
      <c r="G332" s="1003"/>
      <c r="H332" s="1003"/>
      <c r="I332" s="155"/>
      <c r="J332" s="122"/>
      <c r="K332" s="122"/>
      <c r="L332" s="122"/>
      <c r="M332" s="122"/>
      <c r="N332" s="122"/>
      <c r="O332" s="122"/>
      <c r="P332" s="778"/>
      <c r="Q332" s="778"/>
      <c r="R332" s="778"/>
      <c r="S332" s="778"/>
      <c r="T332" s="155"/>
      <c r="U332" s="155"/>
      <c r="V332" s="155"/>
    </row>
    <row r="333" spans="1:23" s="93" customFormat="1" ht="17.100000000000001" customHeight="1" x14ac:dyDescent="0.2">
      <c r="A333" s="161"/>
      <c r="B333" s="48"/>
      <c r="C333" s="48"/>
      <c r="D333" s="48"/>
      <c r="E333" s="992"/>
      <c r="F333" s="992"/>
      <c r="G333" s="992"/>
      <c r="H333" s="992"/>
      <c r="I333" s="155"/>
      <c r="J333" s="122"/>
      <c r="K333" s="122"/>
      <c r="L333" s="122"/>
      <c r="M333" s="122"/>
      <c r="N333" s="122"/>
      <c r="O333" s="122"/>
      <c r="P333" s="778"/>
      <c r="Q333" s="778"/>
      <c r="R333" s="778"/>
      <c r="S333" s="778"/>
      <c r="T333" s="155"/>
      <c r="U333" s="155"/>
      <c r="V333" s="155"/>
    </row>
    <row r="334" spans="1:23" s="93" customFormat="1" ht="17.100000000000001" customHeight="1" x14ac:dyDescent="0.2">
      <c r="A334" s="161"/>
      <c r="B334" s="48"/>
      <c r="C334" s="48"/>
      <c r="D334" s="48"/>
      <c r="E334" s="992"/>
      <c r="F334" s="992"/>
      <c r="G334" s="992"/>
      <c r="H334" s="992"/>
      <c r="I334" s="155"/>
      <c r="J334" s="122"/>
      <c r="K334" s="122"/>
      <c r="L334" s="122"/>
      <c r="M334" s="122"/>
      <c r="N334" s="122"/>
      <c r="O334" s="122"/>
      <c r="P334" s="778"/>
      <c r="Q334" s="778"/>
      <c r="R334" s="778"/>
      <c r="S334" s="778"/>
      <c r="T334" s="155"/>
      <c r="U334" s="155"/>
      <c r="V334" s="155"/>
    </row>
    <row r="335" spans="1:23" s="93" customFormat="1" ht="17.100000000000001" customHeight="1" x14ac:dyDescent="0.2">
      <c r="A335" s="161"/>
      <c r="B335" s="48"/>
      <c r="C335" s="48"/>
      <c r="D335" s="48"/>
      <c r="E335" s="992"/>
      <c r="F335" s="992"/>
      <c r="G335" s="178"/>
      <c r="H335" s="50"/>
      <c r="I335" s="155"/>
      <c r="J335" s="122"/>
      <c r="K335" s="122"/>
      <c r="L335" s="122"/>
      <c r="M335" s="122"/>
      <c r="N335" s="122"/>
      <c r="O335" s="122"/>
      <c r="P335" s="778"/>
      <c r="Q335" s="778"/>
      <c r="R335" s="778"/>
      <c r="S335" s="778"/>
      <c r="T335" s="155"/>
      <c r="U335" s="155"/>
      <c r="V335" s="155"/>
    </row>
    <row r="336" spans="1:23" s="93" customFormat="1" ht="17.100000000000001" customHeight="1" x14ac:dyDescent="0.2">
      <c r="A336" s="161"/>
      <c r="B336" s="48"/>
      <c r="C336" s="48"/>
      <c r="D336" s="48"/>
      <c r="E336" s="48"/>
      <c r="F336" s="48"/>
      <c r="G336" s="992"/>
      <c r="H336" s="992"/>
      <c r="I336" s="155"/>
      <c r="J336" s="122"/>
      <c r="K336" s="122"/>
      <c r="L336" s="122"/>
      <c r="M336" s="122"/>
      <c r="N336" s="122"/>
      <c r="O336" s="122"/>
      <c r="P336" s="778"/>
      <c r="Q336" s="778"/>
      <c r="R336" s="778"/>
      <c r="S336" s="778"/>
      <c r="T336" s="155"/>
      <c r="U336" s="155"/>
      <c r="V336" s="155"/>
    </row>
    <row r="337" spans="1:22" s="93" customFormat="1" ht="17.100000000000001" customHeight="1" x14ac:dyDescent="0.2">
      <c r="A337" s="161"/>
      <c r="B337" s="48"/>
      <c r="C337" s="48"/>
      <c r="D337" s="48"/>
      <c r="E337" s="992"/>
      <c r="F337" s="992"/>
      <c r="G337" s="992"/>
      <c r="H337" s="992"/>
      <c r="I337" s="155"/>
      <c r="J337" s="122"/>
      <c r="K337" s="122"/>
      <c r="L337" s="122"/>
      <c r="M337" s="122"/>
      <c r="N337" s="122"/>
      <c r="O337" s="122"/>
      <c r="P337" s="778"/>
      <c r="Q337" s="778"/>
      <c r="R337" s="778"/>
      <c r="S337" s="778"/>
      <c r="T337" s="155"/>
      <c r="U337" s="155"/>
      <c r="V337" s="155"/>
    </row>
    <row r="338" spans="1:22" s="93" customFormat="1" ht="17.100000000000001" customHeight="1" x14ac:dyDescent="0.2">
      <c r="A338" s="161"/>
      <c r="B338" s="177"/>
      <c r="C338" s="177"/>
      <c r="D338" s="48"/>
      <c r="E338" s="13"/>
      <c r="F338" s="13"/>
      <c r="G338" s="13"/>
      <c r="H338" s="13"/>
      <c r="I338" s="155"/>
      <c r="J338" s="122"/>
      <c r="K338" s="122"/>
      <c r="L338" s="122"/>
      <c r="M338" s="122"/>
      <c r="N338" s="122"/>
      <c r="O338" s="122"/>
      <c r="P338" s="778"/>
      <c r="Q338" s="778"/>
      <c r="R338" s="778"/>
      <c r="S338" s="778"/>
      <c r="T338" s="155"/>
      <c r="U338" s="155"/>
      <c r="V338" s="155"/>
    </row>
    <row r="339" spans="1:22" s="93" customFormat="1" ht="17.100000000000001" customHeight="1" x14ac:dyDescent="0.2">
      <c r="A339" s="161"/>
      <c r="B339" s="179"/>
      <c r="C339" s="179"/>
      <c r="D339" s="48"/>
      <c r="E339" s="13"/>
      <c r="F339" s="511"/>
      <c r="G339" s="511"/>
      <c r="H339" s="511"/>
      <c r="I339" s="155"/>
      <c r="J339" s="122"/>
      <c r="K339" s="122"/>
      <c r="L339" s="122"/>
      <c r="M339" s="122"/>
      <c r="N339" s="122"/>
      <c r="O339" s="122"/>
      <c r="P339" s="778"/>
      <c r="Q339" s="778"/>
      <c r="R339" s="778"/>
      <c r="S339" s="778"/>
      <c r="T339" s="155"/>
      <c r="U339" s="155"/>
      <c r="V339" s="155"/>
    </row>
    <row r="340" spans="1:22" s="93" customFormat="1" ht="12" customHeight="1" x14ac:dyDescent="0.2">
      <c r="A340" s="161"/>
      <c r="B340" s="181"/>
      <c r="C340" s="181"/>
      <c r="D340" s="48"/>
      <c r="E340" s="13"/>
      <c r="F340" s="181"/>
      <c r="G340" s="1004"/>
      <c r="H340" s="1004"/>
      <c r="I340" s="155"/>
      <c r="J340" s="122"/>
      <c r="K340" s="122"/>
      <c r="L340" s="122"/>
      <c r="M340" s="122"/>
      <c r="N340" s="122"/>
      <c r="O340" s="122"/>
      <c r="P340" s="778"/>
      <c r="Q340" s="778"/>
      <c r="R340" s="778"/>
      <c r="S340" s="778"/>
      <c r="T340" s="155"/>
      <c r="U340" s="155"/>
      <c r="V340" s="155"/>
    </row>
    <row r="341" spans="1:22" s="93" customFormat="1" ht="17.100000000000001" customHeight="1" x14ac:dyDescent="0.2">
      <c r="A341" s="161"/>
      <c r="B341" s="182"/>
      <c r="C341" s="182"/>
      <c r="D341" s="48"/>
      <c r="E341" s="48"/>
      <c r="F341" s="183"/>
      <c r="G341" s="1004"/>
      <c r="H341" s="1004"/>
      <c r="I341" s="155"/>
      <c r="J341" s="122"/>
      <c r="K341" s="122"/>
      <c r="L341" s="122"/>
      <c r="M341" s="122"/>
      <c r="N341" s="122"/>
      <c r="O341" s="122"/>
      <c r="P341" s="778"/>
      <c r="Q341" s="778"/>
      <c r="R341" s="778"/>
      <c r="S341" s="778"/>
      <c r="T341" s="155"/>
      <c r="U341" s="155"/>
      <c r="V341" s="155"/>
    </row>
    <row r="342" spans="1:22" s="93" customFormat="1" ht="13.5" customHeight="1" x14ac:dyDescent="0.2">
      <c r="A342" s="161"/>
      <c r="B342" s="184"/>
      <c r="C342" s="184"/>
      <c r="D342" s="48"/>
      <c r="E342" s="48"/>
      <c r="F342" s="184"/>
      <c r="G342" s="1004"/>
      <c r="H342" s="1004"/>
      <c r="I342" s="155"/>
      <c r="J342" s="122"/>
      <c r="K342" s="122"/>
      <c r="L342" s="122"/>
      <c r="M342" s="122"/>
      <c r="N342" s="122"/>
      <c r="O342" s="122"/>
      <c r="P342" s="778"/>
      <c r="Q342" s="778"/>
      <c r="R342" s="778"/>
      <c r="S342" s="778"/>
      <c r="T342" s="155"/>
      <c r="U342" s="155"/>
      <c r="V342" s="155"/>
    </row>
    <row r="343" spans="1:22" s="93" customFormat="1" ht="17.100000000000001" customHeight="1" x14ac:dyDescent="0.2">
      <c r="A343" s="161"/>
      <c r="B343" s="185"/>
      <c r="C343" s="185"/>
      <c r="D343" s="48"/>
      <c r="E343" s="48"/>
      <c r="F343" s="48"/>
      <c r="G343" s="1002"/>
      <c r="H343" s="1002"/>
      <c r="I343" s="155"/>
      <c r="J343" s="122"/>
      <c r="K343" s="122"/>
      <c r="L343" s="122"/>
      <c r="M343" s="122"/>
      <c r="N343" s="122"/>
      <c r="O343" s="122"/>
      <c r="P343" s="778"/>
      <c r="Q343" s="778"/>
      <c r="R343" s="778"/>
      <c r="S343" s="778"/>
      <c r="T343" s="155"/>
      <c r="U343" s="155"/>
      <c r="V343" s="155"/>
    </row>
    <row r="344" spans="1:22" s="93" customFormat="1" ht="17.100000000000001" customHeight="1" x14ac:dyDescent="0.2">
      <c r="A344" s="161"/>
      <c r="B344" s="1001"/>
      <c r="C344" s="1001"/>
      <c r="D344" s="1003"/>
      <c r="E344" s="1003"/>
      <c r="F344" s="1003"/>
      <c r="G344" s="501"/>
      <c r="H344" s="46"/>
      <c r="I344" s="155"/>
      <c r="J344" s="122"/>
      <c r="K344" s="122"/>
      <c r="L344" s="122"/>
      <c r="M344" s="122"/>
      <c r="N344" s="122"/>
      <c r="O344" s="122"/>
      <c r="P344" s="778"/>
      <c r="Q344" s="778"/>
      <c r="R344" s="778"/>
      <c r="S344" s="778"/>
      <c r="T344" s="155"/>
      <c r="U344" s="155"/>
      <c r="V344" s="155"/>
    </row>
    <row r="345" spans="1:22" s="93" customFormat="1" ht="17.100000000000001" customHeight="1" x14ac:dyDescent="0.2">
      <c r="A345" s="161"/>
      <c r="B345" s="504"/>
      <c r="C345" s="504"/>
      <c r="D345" s="502"/>
      <c r="E345" s="502"/>
      <c r="F345" s="502"/>
      <c r="G345" s="501"/>
      <c r="H345" s="13"/>
      <c r="I345" s="155"/>
      <c r="J345" s="122"/>
      <c r="K345" s="122"/>
      <c r="L345" s="122"/>
      <c r="M345" s="122"/>
      <c r="N345" s="122"/>
      <c r="O345" s="122"/>
      <c r="P345" s="778"/>
      <c r="Q345" s="778"/>
      <c r="R345" s="778"/>
      <c r="S345" s="778"/>
      <c r="T345" s="155"/>
      <c r="U345" s="155"/>
      <c r="V345" s="155"/>
    </row>
    <row r="346" spans="1:22" s="93" customFormat="1" ht="17.100000000000001" customHeight="1" x14ac:dyDescent="0.2">
      <c r="A346" s="161"/>
      <c r="B346" s="47"/>
      <c r="C346" s="47"/>
      <c r="D346" s="48"/>
      <c r="E346" s="48"/>
      <c r="F346" s="48"/>
      <c r="G346" s="48"/>
      <c r="H346" s="48"/>
      <c r="I346" s="155"/>
      <c r="J346" s="122"/>
      <c r="K346" s="122"/>
      <c r="L346" s="122"/>
      <c r="M346" s="122"/>
      <c r="N346" s="122"/>
      <c r="O346" s="122"/>
      <c r="P346" s="778"/>
      <c r="Q346" s="778"/>
      <c r="R346" s="778"/>
      <c r="S346" s="778"/>
      <c r="T346" s="155"/>
      <c r="U346" s="155"/>
      <c r="V346" s="155"/>
    </row>
    <row r="347" spans="1:22" s="93" customFormat="1" ht="27.75" customHeight="1" x14ac:dyDescent="0.2">
      <c r="A347" s="161"/>
      <c r="B347" s="999"/>
      <c r="C347" s="999"/>
      <c r="D347" s="997"/>
      <c r="E347" s="997"/>
      <c r="F347" s="997"/>
      <c r="G347" s="501"/>
      <c r="H347" s="49"/>
      <c r="I347" s="155"/>
      <c r="J347" s="122"/>
      <c r="K347" s="122"/>
      <c r="L347" s="122"/>
      <c r="M347" s="122"/>
      <c r="N347" s="122"/>
      <c r="O347" s="122"/>
      <c r="P347" s="778"/>
      <c r="Q347" s="778"/>
      <c r="R347" s="778"/>
      <c r="S347" s="778"/>
      <c r="T347" s="155"/>
      <c r="U347" s="155"/>
      <c r="V347" s="155"/>
    </row>
    <row r="348" spans="1:22" s="93" customFormat="1" ht="17.100000000000001" customHeight="1" x14ac:dyDescent="0.2">
      <c r="A348" s="161"/>
      <c r="B348" s="47"/>
      <c r="C348" s="47"/>
      <c r="D348" s="48"/>
      <c r="E348" s="48"/>
      <c r="F348" s="48"/>
      <c r="G348" s="12"/>
      <c r="H348" s="48"/>
      <c r="I348" s="155"/>
      <c r="J348" s="122"/>
      <c r="K348" s="122"/>
      <c r="L348" s="122"/>
      <c r="M348" s="122"/>
      <c r="N348" s="122"/>
      <c r="O348" s="122"/>
      <c r="P348" s="778"/>
      <c r="Q348" s="778"/>
      <c r="R348" s="778"/>
      <c r="S348" s="778"/>
      <c r="T348" s="155"/>
      <c r="U348" s="155"/>
      <c r="V348" s="155"/>
    </row>
    <row r="349" spans="1:22" s="93" customFormat="1" ht="28.5" customHeight="1" x14ac:dyDescent="0.2">
      <c r="A349" s="161"/>
      <c r="B349" s="999"/>
      <c r="C349" s="999"/>
      <c r="D349" s="999"/>
      <c r="E349" s="999"/>
      <c r="F349" s="999"/>
      <c r="G349" s="501"/>
      <c r="H349" s="49"/>
      <c r="I349" s="155"/>
      <c r="J349" s="122"/>
      <c r="K349" s="122"/>
      <c r="L349" s="122"/>
      <c r="M349" s="122"/>
      <c r="N349" s="122"/>
      <c r="O349" s="122"/>
      <c r="P349" s="778"/>
      <c r="Q349" s="778"/>
      <c r="R349" s="778"/>
      <c r="S349" s="778"/>
      <c r="T349" s="155"/>
      <c r="U349" s="155"/>
      <c r="V349" s="155"/>
    </row>
    <row r="350" spans="1:22" s="93" customFormat="1" ht="17.100000000000001" customHeight="1" x14ac:dyDescent="0.2">
      <c r="A350" s="161"/>
      <c r="B350" s="1001"/>
      <c r="C350" s="1001"/>
      <c r="D350" s="1003"/>
      <c r="E350" s="1003"/>
      <c r="F350" s="1003"/>
      <c r="G350" s="501"/>
      <c r="H350" s="49"/>
      <c r="I350" s="155"/>
      <c r="J350" s="122"/>
      <c r="K350" s="122"/>
      <c r="L350" s="122"/>
      <c r="M350" s="122"/>
      <c r="N350" s="122"/>
      <c r="O350" s="122"/>
      <c r="P350" s="778"/>
      <c r="Q350" s="778"/>
      <c r="R350" s="778"/>
      <c r="S350" s="778"/>
      <c r="T350" s="155"/>
      <c r="U350" s="155"/>
      <c r="V350" s="155"/>
    </row>
    <row r="351" spans="1:22" s="93" customFormat="1" ht="41.25" customHeight="1" x14ac:dyDescent="0.2">
      <c r="A351" s="161"/>
      <c r="B351" s="997"/>
      <c r="C351" s="997"/>
      <c r="D351" s="998"/>
      <c r="E351" s="998"/>
      <c r="F351" s="998"/>
      <c r="G351" s="48"/>
      <c r="H351" s="48"/>
      <c r="I351" s="155"/>
      <c r="J351" s="122"/>
      <c r="K351" s="122"/>
      <c r="L351" s="122"/>
      <c r="M351" s="122"/>
      <c r="N351" s="122"/>
      <c r="O351" s="122"/>
      <c r="P351" s="778"/>
      <c r="Q351" s="778"/>
      <c r="R351" s="778"/>
      <c r="S351" s="778"/>
      <c r="T351" s="155"/>
      <c r="U351" s="155"/>
      <c r="V351" s="155"/>
    </row>
    <row r="352" spans="1:22" s="93" customFormat="1" ht="24" customHeight="1" x14ac:dyDescent="0.2">
      <c r="A352" s="161"/>
      <c r="B352" s="997"/>
      <c r="C352" s="997"/>
      <c r="D352" s="998"/>
      <c r="E352" s="998"/>
      <c r="F352" s="998"/>
      <c r="G352" s="48"/>
      <c r="H352" s="48"/>
      <c r="I352" s="155"/>
      <c r="J352" s="122"/>
      <c r="K352" s="122"/>
      <c r="L352" s="122"/>
      <c r="M352" s="122"/>
      <c r="N352" s="122"/>
      <c r="O352" s="122"/>
      <c r="P352" s="778"/>
      <c r="Q352" s="778"/>
      <c r="R352" s="778"/>
      <c r="S352" s="778"/>
      <c r="T352" s="155"/>
      <c r="U352" s="155"/>
      <c r="V352" s="155"/>
    </row>
    <row r="353" spans="1:22" s="93" customFormat="1" ht="40.5" customHeight="1" x14ac:dyDescent="0.2">
      <c r="A353" s="161"/>
      <c r="B353" s="999"/>
      <c r="C353" s="999"/>
      <c r="D353" s="1000"/>
      <c r="E353" s="1000"/>
      <c r="F353" s="1000"/>
      <c r="G353" s="501"/>
      <c r="H353" s="49"/>
      <c r="I353" s="155"/>
      <c r="J353" s="122"/>
      <c r="K353" s="122"/>
      <c r="L353" s="122"/>
      <c r="M353" s="122"/>
      <c r="N353" s="122"/>
      <c r="O353" s="122"/>
      <c r="P353" s="778"/>
      <c r="Q353" s="778"/>
      <c r="R353" s="778"/>
      <c r="S353" s="778"/>
      <c r="T353" s="155"/>
      <c r="U353" s="155"/>
      <c r="V353" s="155"/>
    </row>
    <row r="354" spans="1:22" s="93" customFormat="1" ht="14.25" customHeight="1" x14ac:dyDescent="0.2">
      <c r="A354" s="161"/>
      <c r="B354" s="47"/>
      <c r="C354" s="47"/>
      <c r="D354" s="48"/>
      <c r="E354" s="48"/>
      <c r="F354" s="48"/>
      <c r="G354" s="48"/>
      <c r="H354" s="48"/>
      <c r="I354" s="155"/>
      <c r="J354" s="122"/>
      <c r="K354" s="122"/>
      <c r="L354" s="122"/>
      <c r="M354" s="122"/>
      <c r="N354" s="122"/>
      <c r="O354" s="122"/>
      <c r="P354" s="778"/>
      <c r="Q354" s="778"/>
      <c r="R354" s="778"/>
      <c r="S354" s="778"/>
      <c r="T354" s="155"/>
      <c r="U354" s="155"/>
      <c r="V354" s="155"/>
    </row>
    <row r="355" spans="1:22" s="93" customFormat="1" ht="28.5" customHeight="1" x14ac:dyDescent="0.2">
      <c r="A355" s="161"/>
      <c r="B355" s="999"/>
      <c r="C355" s="999"/>
      <c r="D355" s="999"/>
      <c r="E355" s="999"/>
      <c r="F355" s="999"/>
      <c r="G355" s="501"/>
      <c r="H355" s="49"/>
      <c r="I355" s="155"/>
      <c r="J355" s="122"/>
      <c r="K355" s="122"/>
      <c r="L355" s="122"/>
      <c r="M355" s="122"/>
      <c r="N355" s="122"/>
      <c r="O355" s="122"/>
      <c r="P355" s="778"/>
      <c r="Q355" s="778"/>
      <c r="R355" s="778"/>
      <c r="S355" s="778"/>
      <c r="T355" s="155"/>
      <c r="U355" s="155"/>
      <c r="V355" s="155"/>
    </row>
    <row r="356" spans="1:22" s="93" customFormat="1" ht="37.5" customHeight="1" x14ac:dyDescent="0.2">
      <c r="A356" s="161"/>
      <c r="B356" s="997"/>
      <c r="C356" s="997"/>
      <c r="D356" s="998"/>
      <c r="E356" s="998"/>
      <c r="F356" s="998"/>
      <c r="G356" s="48"/>
      <c r="H356" s="48"/>
      <c r="I356" s="155"/>
      <c r="J356" s="122"/>
      <c r="K356" s="122"/>
      <c r="L356" s="122"/>
      <c r="M356" s="122"/>
      <c r="N356" s="122"/>
      <c r="O356" s="122"/>
      <c r="P356" s="778"/>
      <c r="Q356" s="778"/>
      <c r="R356" s="778"/>
      <c r="S356" s="778"/>
      <c r="T356" s="155"/>
      <c r="U356" s="155"/>
      <c r="V356" s="155"/>
    </row>
    <row r="357" spans="1:22" s="93" customFormat="1" ht="13.5" customHeight="1" x14ac:dyDescent="0.2">
      <c r="A357" s="507"/>
      <c r="B357" s="1001"/>
      <c r="C357" s="1001"/>
      <c r="D357" s="1001"/>
      <c r="E357" s="1001"/>
      <c r="F357" s="1001"/>
      <c r="G357" s="501"/>
      <c r="H357" s="49"/>
      <c r="I357" s="155"/>
      <c r="J357" s="122"/>
      <c r="K357" s="122"/>
      <c r="L357" s="122"/>
      <c r="M357" s="122"/>
      <c r="N357" s="122"/>
      <c r="O357" s="122"/>
      <c r="P357" s="778"/>
      <c r="Q357" s="778"/>
      <c r="R357" s="778"/>
      <c r="S357" s="778"/>
      <c r="T357" s="155"/>
      <c r="U357" s="155"/>
      <c r="V357" s="155"/>
    </row>
    <row r="358" spans="1:22" s="93" customFormat="1" ht="15" customHeight="1" x14ac:dyDescent="0.2">
      <c r="A358" s="507"/>
      <c r="B358" s="47"/>
      <c r="C358" s="47"/>
      <c r="D358" s="48"/>
      <c r="E358" s="48"/>
      <c r="F358" s="48"/>
      <c r="G358" s="501"/>
      <c r="H358" s="49"/>
      <c r="I358" s="155"/>
      <c r="J358" s="122"/>
      <c r="K358" s="122"/>
      <c r="L358" s="122"/>
      <c r="M358" s="122"/>
      <c r="N358" s="122"/>
      <c r="O358" s="122"/>
      <c r="P358" s="778"/>
      <c r="Q358" s="778"/>
      <c r="R358" s="778"/>
      <c r="S358" s="778"/>
      <c r="T358" s="155"/>
      <c r="U358" s="155"/>
      <c r="V358" s="155"/>
    </row>
    <row r="359" spans="1:22" s="93" customFormat="1" ht="17.100000000000001" customHeight="1" x14ac:dyDescent="0.25">
      <c r="A359" s="186"/>
      <c r="B359" s="187"/>
      <c r="C359" s="187"/>
      <c r="D359" s="48"/>
      <c r="E359" s="48"/>
      <c r="F359" s="48"/>
      <c r="G359" s="48"/>
      <c r="H359" s="48"/>
      <c r="I359" s="155"/>
      <c r="J359" s="122"/>
      <c r="K359" s="122"/>
      <c r="L359" s="122"/>
      <c r="M359" s="122"/>
      <c r="N359" s="122"/>
      <c r="O359" s="122"/>
      <c r="P359" s="778"/>
      <c r="Q359" s="778"/>
      <c r="R359" s="778"/>
      <c r="S359" s="778"/>
      <c r="T359" s="155"/>
      <c r="U359" s="155"/>
      <c r="V359" s="155"/>
    </row>
    <row r="360" spans="1:22" s="93" customFormat="1" ht="17.100000000000001" customHeight="1" x14ac:dyDescent="0.2">
      <c r="A360" s="507"/>
      <c r="B360" s="48"/>
      <c r="C360" s="48"/>
      <c r="D360" s="48"/>
      <c r="E360" s="48"/>
      <c r="F360" s="48"/>
      <c r="G360" s="48"/>
      <c r="H360" s="48"/>
      <c r="I360" s="155"/>
      <c r="J360" s="122"/>
      <c r="K360" s="122"/>
      <c r="L360" s="122"/>
      <c r="M360" s="122"/>
      <c r="N360" s="122"/>
      <c r="O360" s="122"/>
      <c r="P360" s="778"/>
      <c r="Q360" s="778"/>
      <c r="R360" s="778"/>
      <c r="S360" s="778"/>
      <c r="T360" s="155"/>
      <c r="U360" s="155"/>
      <c r="V360" s="155"/>
    </row>
    <row r="361" spans="1:22" s="93" customFormat="1" ht="17.100000000000001" customHeight="1" x14ac:dyDescent="0.2">
      <c r="A361" s="507"/>
      <c r="B361" s="48"/>
      <c r="C361" s="48"/>
      <c r="D361" s="48"/>
      <c r="E361" s="48"/>
      <c r="F361" s="48"/>
      <c r="G361" s="12"/>
      <c r="H361" s="50"/>
      <c r="I361" s="155"/>
      <c r="J361" s="122"/>
      <c r="K361" s="122"/>
      <c r="L361" s="122"/>
      <c r="M361" s="122"/>
      <c r="N361" s="122"/>
      <c r="O361" s="122"/>
      <c r="P361" s="778"/>
      <c r="Q361" s="778"/>
      <c r="R361" s="778"/>
      <c r="S361" s="778"/>
      <c r="T361" s="155"/>
      <c r="U361" s="155"/>
      <c r="V361" s="155"/>
    </row>
    <row r="362" spans="1:22" s="93" customFormat="1" ht="17.100000000000001" customHeight="1" x14ac:dyDescent="0.2">
      <c r="A362" s="507"/>
      <c r="B362" s="48"/>
      <c r="C362" s="48"/>
      <c r="D362" s="188"/>
      <c r="E362" s="48"/>
      <c r="F362" s="48"/>
      <c r="G362" s="12"/>
      <c r="H362" s="50"/>
      <c r="I362" s="155"/>
      <c r="J362" s="122"/>
      <c r="K362" s="122"/>
      <c r="L362" s="122"/>
      <c r="M362" s="122"/>
      <c r="N362" s="122"/>
      <c r="O362" s="122"/>
      <c r="P362" s="778"/>
      <c r="Q362" s="778"/>
      <c r="R362" s="778"/>
      <c r="S362" s="778"/>
      <c r="T362" s="155"/>
      <c r="U362" s="155"/>
      <c r="V362" s="155"/>
    </row>
    <row r="363" spans="1:22" s="93" customFormat="1" ht="17.100000000000001" customHeight="1" x14ac:dyDescent="0.2">
      <c r="A363" s="507"/>
      <c r="B363" s="48"/>
      <c r="C363" s="48"/>
      <c r="D363" s="48"/>
      <c r="E363" s="48"/>
      <c r="F363" s="48"/>
      <c r="G363" s="12"/>
      <c r="H363" s="50"/>
      <c r="I363" s="155"/>
      <c r="J363" s="122"/>
      <c r="K363" s="122"/>
      <c r="L363" s="122"/>
      <c r="M363" s="122"/>
      <c r="N363" s="122"/>
      <c r="O363" s="122"/>
      <c r="P363" s="778"/>
      <c r="Q363" s="778"/>
      <c r="R363" s="778"/>
      <c r="S363" s="778"/>
      <c r="T363" s="155"/>
      <c r="U363" s="155"/>
      <c r="V363" s="155"/>
    </row>
    <row r="364" spans="1:22" s="93" customFormat="1" ht="17.100000000000001" customHeight="1" x14ac:dyDescent="0.2">
      <c r="A364" s="507"/>
      <c r="B364" s="48"/>
      <c r="C364" s="48"/>
      <c r="D364" s="48"/>
      <c r="E364" s="12"/>
      <c r="F364" s="48"/>
      <c r="G364" s="12"/>
      <c r="H364" s="50"/>
      <c r="I364" s="155"/>
      <c r="J364" s="122"/>
      <c r="K364" s="122"/>
      <c r="L364" s="122"/>
      <c r="M364" s="122"/>
      <c r="N364" s="122"/>
      <c r="O364" s="122"/>
      <c r="P364" s="778"/>
      <c r="Q364" s="778"/>
      <c r="R364" s="778"/>
      <c r="S364" s="778"/>
      <c r="T364" s="155"/>
      <c r="U364" s="155"/>
      <c r="V364" s="155"/>
    </row>
    <row r="365" spans="1:22" s="93" customFormat="1" ht="17.100000000000001" customHeight="1" x14ac:dyDescent="0.2">
      <c r="A365" s="507"/>
      <c r="B365" s="48"/>
      <c r="C365" s="48"/>
      <c r="D365" s="48"/>
      <c r="E365" s="48"/>
      <c r="F365" s="992"/>
      <c r="G365" s="992"/>
      <c r="H365" s="992"/>
      <c r="I365" s="155"/>
      <c r="J365" s="122"/>
      <c r="K365" s="122"/>
      <c r="L365" s="122"/>
      <c r="M365" s="122"/>
      <c r="N365" s="122"/>
      <c r="O365" s="122"/>
      <c r="P365" s="778"/>
      <c r="Q365" s="778"/>
      <c r="R365" s="778"/>
      <c r="S365" s="778"/>
      <c r="T365" s="155"/>
      <c r="U365" s="155"/>
      <c r="V365" s="155"/>
    </row>
    <row r="366" spans="1:22" s="93" customFormat="1" ht="17.100000000000001" customHeight="1" x14ac:dyDescent="0.2">
      <c r="A366" s="507"/>
      <c r="B366" s="992"/>
      <c r="C366" s="992"/>
      <c r="D366" s="992"/>
      <c r="E366" s="992"/>
      <c r="F366" s="992"/>
      <c r="G366" s="992"/>
      <c r="H366" s="992"/>
      <c r="I366" s="155"/>
      <c r="J366" s="122"/>
      <c r="K366" s="122"/>
      <c r="L366" s="122"/>
      <c r="M366" s="122"/>
      <c r="N366" s="122"/>
      <c r="O366" s="122"/>
      <c r="P366" s="778"/>
      <c r="Q366" s="778"/>
      <c r="R366" s="778"/>
      <c r="S366" s="778"/>
      <c r="T366" s="155"/>
      <c r="U366" s="155"/>
      <c r="V366" s="155"/>
    </row>
    <row r="367" spans="1:22" s="93" customFormat="1" ht="17.100000000000001" customHeight="1" x14ac:dyDescent="0.2">
      <c r="A367" s="507"/>
      <c r="B367" s="48"/>
      <c r="C367" s="48"/>
      <c r="D367" s="48"/>
      <c r="E367" s="48"/>
      <c r="F367" s="48"/>
      <c r="G367" s="48"/>
      <c r="H367" s="48"/>
      <c r="I367" s="155"/>
      <c r="J367" s="122"/>
      <c r="K367" s="122"/>
      <c r="L367" s="122"/>
      <c r="M367" s="122"/>
      <c r="N367" s="122"/>
      <c r="O367" s="122"/>
      <c r="P367" s="778"/>
      <c r="Q367" s="778"/>
      <c r="R367" s="778"/>
      <c r="S367" s="778"/>
      <c r="T367" s="155"/>
      <c r="U367" s="155"/>
      <c r="V367" s="155"/>
    </row>
    <row r="368" spans="1:22" s="93" customFormat="1" ht="17.100000000000001" customHeight="1" x14ac:dyDescent="0.2">
      <c r="A368" s="507"/>
      <c r="B368" s="992"/>
      <c r="C368" s="992"/>
      <c r="D368" s="992"/>
      <c r="E368" s="992"/>
      <c r="F368" s="992"/>
      <c r="G368" s="992"/>
      <c r="H368" s="992"/>
      <c r="I368" s="155"/>
      <c r="J368" s="122"/>
      <c r="K368" s="122"/>
      <c r="L368" s="122"/>
      <c r="M368" s="122"/>
      <c r="N368" s="122"/>
      <c r="O368" s="122"/>
      <c r="P368" s="778"/>
      <c r="Q368" s="778"/>
      <c r="R368" s="778"/>
      <c r="S368" s="778"/>
      <c r="T368" s="155"/>
      <c r="U368" s="155"/>
      <c r="V368" s="155"/>
    </row>
    <row r="369" spans="1:22" s="93" customFormat="1" ht="17.100000000000001" customHeight="1" x14ac:dyDescent="0.2">
      <c r="A369" s="507"/>
      <c r="B369" s="48"/>
      <c r="C369" s="48"/>
      <c r="D369" s="48"/>
      <c r="E369" s="48"/>
      <c r="F369" s="48"/>
      <c r="G369" s="48"/>
      <c r="H369" s="48"/>
      <c r="I369" s="155"/>
      <c r="J369" s="122"/>
      <c r="K369" s="122"/>
      <c r="L369" s="122"/>
      <c r="M369" s="122"/>
      <c r="N369" s="122"/>
      <c r="O369" s="122"/>
      <c r="P369" s="778"/>
      <c r="Q369" s="778"/>
      <c r="R369" s="778"/>
      <c r="S369" s="778"/>
      <c r="T369" s="155"/>
      <c r="U369" s="155"/>
      <c r="V369" s="155"/>
    </row>
    <row r="370" spans="1:22" s="93" customFormat="1" ht="17.100000000000001" customHeight="1" x14ac:dyDescent="0.2">
      <c r="A370" s="507"/>
      <c r="B370" s="992"/>
      <c r="C370" s="992"/>
      <c r="D370" s="992"/>
      <c r="E370" s="992"/>
      <c r="F370" s="992"/>
      <c r="G370" s="992"/>
      <c r="H370" s="992"/>
      <c r="I370" s="155"/>
      <c r="J370" s="122"/>
      <c r="K370" s="122"/>
      <c r="L370" s="122"/>
      <c r="M370" s="122"/>
      <c r="N370" s="122"/>
      <c r="O370" s="122"/>
      <c r="P370" s="778"/>
      <c r="Q370" s="778"/>
      <c r="R370" s="778"/>
      <c r="S370" s="778"/>
      <c r="T370" s="155"/>
      <c r="U370" s="155"/>
      <c r="V370" s="155"/>
    </row>
    <row r="371" spans="1:22" s="93" customFormat="1" ht="17.100000000000001" customHeight="1" x14ac:dyDescent="0.25">
      <c r="A371" s="186"/>
      <c r="B371" s="187"/>
      <c r="C371" s="187"/>
      <c r="D371" s="48"/>
      <c r="E371" s="48"/>
      <c r="F371" s="48"/>
      <c r="G371" s="48"/>
      <c r="H371" s="48"/>
      <c r="I371" s="155"/>
      <c r="J371" s="122"/>
      <c r="K371" s="122"/>
      <c r="L371" s="122"/>
      <c r="M371" s="122"/>
      <c r="N371" s="122"/>
      <c r="O371" s="122"/>
      <c r="P371" s="778"/>
      <c r="Q371" s="778"/>
      <c r="R371" s="778"/>
      <c r="S371" s="778"/>
      <c r="T371" s="155"/>
      <c r="U371" s="155"/>
      <c r="V371" s="155"/>
    </row>
    <row r="372" spans="1:22" s="93" customFormat="1" ht="17.100000000000001" customHeight="1" x14ac:dyDescent="0.2">
      <c r="A372" s="507"/>
      <c r="B372" s="48"/>
      <c r="C372" s="48"/>
      <c r="D372" s="48"/>
      <c r="E372" s="48"/>
      <c r="F372" s="48"/>
      <c r="G372" s="48"/>
      <c r="H372" s="48"/>
      <c r="I372" s="155"/>
      <c r="J372" s="122"/>
      <c r="K372" s="122"/>
      <c r="L372" s="122"/>
      <c r="M372" s="122"/>
      <c r="N372" s="122"/>
      <c r="O372" s="122"/>
      <c r="P372" s="778"/>
      <c r="Q372" s="778"/>
      <c r="R372" s="778"/>
      <c r="S372" s="778"/>
      <c r="T372" s="155"/>
      <c r="U372" s="155"/>
      <c r="V372" s="155"/>
    </row>
    <row r="373" spans="1:22" s="93" customFormat="1" ht="17.100000000000001" customHeight="1" x14ac:dyDescent="0.2">
      <c r="A373" s="507"/>
      <c r="B373" s="48"/>
      <c r="C373" s="48"/>
      <c r="D373" s="48"/>
      <c r="E373" s="12"/>
      <c r="F373" s="48"/>
      <c r="G373" s="48"/>
      <c r="H373" s="12"/>
      <c r="I373" s="155"/>
      <c r="J373" s="122"/>
      <c r="K373" s="122"/>
      <c r="L373" s="122"/>
      <c r="M373" s="122"/>
      <c r="N373" s="122"/>
      <c r="O373" s="122"/>
      <c r="P373" s="778"/>
      <c r="Q373" s="778"/>
      <c r="R373" s="778"/>
      <c r="S373" s="778"/>
      <c r="T373" s="155"/>
      <c r="U373" s="155"/>
      <c r="V373" s="155"/>
    </row>
    <row r="374" spans="1:22" s="93" customFormat="1" ht="17.100000000000001" customHeight="1" x14ac:dyDescent="0.3">
      <c r="A374" s="507"/>
      <c r="B374" s="189"/>
      <c r="C374" s="189"/>
      <c r="D374" s="48"/>
      <c r="E374" s="50"/>
      <c r="F374" s="48"/>
      <c r="G374" s="48"/>
      <c r="H374" s="50"/>
      <c r="I374" s="155"/>
      <c r="J374" s="122"/>
      <c r="K374" s="122"/>
      <c r="L374" s="122"/>
      <c r="M374" s="122"/>
      <c r="N374" s="122"/>
      <c r="O374" s="122"/>
      <c r="P374" s="778"/>
      <c r="Q374" s="778"/>
      <c r="R374" s="778"/>
      <c r="S374" s="778"/>
      <c r="T374" s="155"/>
      <c r="U374" s="155"/>
      <c r="V374" s="155"/>
    </row>
    <row r="375" spans="1:22" s="93" customFormat="1" ht="17.100000000000001" customHeight="1" x14ac:dyDescent="0.2">
      <c r="A375" s="507"/>
      <c r="B375" s="190"/>
      <c r="C375" s="190"/>
      <c r="D375" s="48"/>
      <c r="E375" s="12"/>
      <c r="F375" s="48"/>
      <c r="G375" s="48"/>
      <c r="H375" s="12"/>
      <c r="I375" s="155"/>
      <c r="J375" s="122"/>
      <c r="K375" s="122"/>
      <c r="L375" s="122"/>
      <c r="M375" s="122"/>
      <c r="N375" s="122"/>
      <c r="O375" s="122"/>
      <c r="P375" s="778"/>
      <c r="Q375" s="778"/>
      <c r="R375" s="778"/>
      <c r="S375" s="778"/>
      <c r="T375" s="155"/>
      <c r="U375" s="155"/>
      <c r="V375" s="155"/>
    </row>
    <row r="376" spans="1:22" s="93" customFormat="1" ht="17.100000000000001" customHeight="1" x14ac:dyDescent="0.2">
      <c r="A376" s="161"/>
      <c r="B376" s="191"/>
      <c r="C376" s="191"/>
      <c r="D376" s="48"/>
      <c r="E376" s="50"/>
      <c r="F376" s="191"/>
      <c r="G376" s="48"/>
      <c r="H376" s="50"/>
      <c r="I376" s="155"/>
      <c r="J376" s="122"/>
      <c r="K376" s="122"/>
      <c r="L376" s="122"/>
      <c r="M376" s="122"/>
      <c r="N376" s="122"/>
      <c r="O376" s="122"/>
      <c r="P376" s="778"/>
      <c r="Q376" s="778"/>
      <c r="R376" s="778"/>
      <c r="S376" s="778"/>
      <c r="T376" s="155"/>
      <c r="U376" s="155"/>
      <c r="V376" s="155"/>
    </row>
    <row r="377" spans="1:22" s="93" customFormat="1" ht="17.100000000000001" customHeight="1" x14ac:dyDescent="0.2">
      <c r="A377" s="161"/>
      <c r="B377" s="191"/>
      <c r="C377" s="191"/>
      <c r="D377" s="48"/>
      <c r="E377" s="50"/>
      <c r="F377" s="191"/>
      <c r="G377" s="48"/>
      <c r="H377" s="50"/>
      <c r="I377" s="155"/>
      <c r="J377" s="122"/>
      <c r="K377" s="122"/>
      <c r="L377" s="122"/>
      <c r="M377" s="122"/>
      <c r="N377" s="122"/>
      <c r="O377" s="122"/>
      <c r="P377" s="778"/>
      <c r="Q377" s="778"/>
      <c r="R377" s="778"/>
      <c r="S377" s="778"/>
      <c r="T377" s="155"/>
      <c r="U377" s="155"/>
      <c r="V377" s="155"/>
    </row>
    <row r="378" spans="1:22" s="93" customFormat="1" ht="17.100000000000001" customHeight="1" x14ac:dyDescent="0.2">
      <c r="A378" s="161"/>
      <c r="B378" s="191"/>
      <c r="C378" s="191"/>
      <c r="D378" s="48"/>
      <c r="E378" s="50"/>
      <c r="F378" s="191"/>
      <c r="G378" s="48"/>
      <c r="H378" s="50"/>
      <c r="I378" s="155"/>
      <c r="J378" s="122"/>
      <c r="K378" s="122"/>
      <c r="L378" s="122"/>
      <c r="M378" s="122"/>
      <c r="N378" s="122"/>
      <c r="O378" s="122"/>
      <c r="P378" s="778"/>
      <c r="Q378" s="778"/>
      <c r="R378" s="778"/>
      <c r="S378" s="778"/>
      <c r="T378" s="155"/>
      <c r="U378" s="155"/>
      <c r="V378" s="155"/>
    </row>
    <row r="379" spans="1:22" s="93" customFormat="1" ht="17.100000000000001" customHeight="1" x14ac:dyDescent="0.2">
      <c r="A379" s="507"/>
      <c r="B379" s="191"/>
      <c r="C379" s="191"/>
      <c r="D379" s="48"/>
      <c r="E379" s="50"/>
      <c r="F379" s="191"/>
      <c r="G379" s="48"/>
      <c r="H379" s="50"/>
      <c r="I379" s="155"/>
      <c r="J379" s="122"/>
      <c r="K379" s="122"/>
      <c r="L379" s="122"/>
      <c r="M379" s="122"/>
      <c r="N379" s="122"/>
      <c r="O379" s="122"/>
      <c r="P379" s="778"/>
      <c r="Q379" s="778"/>
      <c r="R379" s="778"/>
      <c r="S379" s="778"/>
      <c r="T379" s="155"/>
      <c r="U379" s="155"/>
      <c r="V379" s="155"/>
    </row>
    <row r="380" spans="1:22" s="93" customFormat="1" ht="17.100000000000001" customHeight="1" x14ac:dyDescent="0.2">
      <c r="A380" s="507"/>
      <c r="B380" s="191"/>
      <c r="C380" s="191"/>
      <c r="D380" s="48"/>
      <c r="E380" s="50"/>
      <c r="F380" s="191"/>
      <c r="G380" s="48"/>
      <c r="H380" s="50"/>
      <c r="I380" s="155"/>
      <c r="J380" s="122"/>
      <c r="K380" s="122"/>
      <c r="L380" s="122"/>
      <c r="M380" s="122"/>
      <c r="N380" s="122"/>
      <c r="O380" s="122"/>
      <c r="P380" s="778"/>
      <c r="Q380" s="778"/>
      <c r="R380" s="778"/>
      <c r="S380" s="778"/>
      <c r="T380" s="155"/>
      <c r="U380" s="155"/>
      <c r="V380" s="155"/>
    </row>
    <row r="381" spans="1:22" s="93" customFormat="1" ht="17.100000000000001" customHeight="1" x14ac:dyDescent="0.25">
      <c r="A381" s="507"/>
      <c r="B381" s="192"/>
      <c r="C381" s="192"/>
      <c r="D381" s="48"/>
      <c r="E381" s="50"/>
      <c r="F381" s="191"/>
      <c r="G381" s="48"/>
      <c r="H381" s="50"/>
      <c r="I381" s="155"/>
      <c r="J381" s="122"/>
      <c r="K381" s="122"/>
      <c r="L381" s="122"/>
      <c r="M381" s="122"/>
      <c r="N381" s="122"/>
      <c r="O381" s="122"/>
      <c r="P381" s="778"/>
      <c r="Q381" s="778"/>
      <c r="R381" s="778"/>
      <c r="S381" s="778"/>
      <c r="T381" s="155"/>
      <c r="U381" s="155"/>
      <c r="V381" s="155"/>
    </row>
    <row r="382" spans="1:22" s="93" customFormat="1" ht="17.100000000000001" customHeight="1" x14ac:dyDescent="0.25">
      <c r="A382" s="186"/>
      <c r="B382" s="994"/>
      <c r="C382" s="994"/>
      <c r="D382" s="994"/>
      <c r="E382" s="994"/>
      <c r="F382" s="994"/>
      <c r="G382" s="994"/>
      <c r="H382" s="994"/>
      <c r="I382" s="155"/>
      <c r="J382" s="122"/>
      <c r="K382" s="122"/>
      <c r="L382" s="122"/>
      <c r="M382" s="122"/>
      <c r="N382" s="122"/>
      <c r="O382" s="122"/>
      <c r="P382" s="778"/>
      <c r="Q382" s="778"/>
      <c r="R382" s="778"/>
      <c r="S382" s="778"/>
      <c r="T382" s="155"/>
      <c r="U382" s="155"/>
      <c r="V382" s="155"/>
    </row>
    <row r="383" spans="1:22" s="93" customFormat="1" ht="17.100000000000001" customHeight="1" x14ac:dyDescent="0.2">
      <c r="A383" s="507"/>
      <c r="B383" s="48"/>
      <c r="C383" s="48"/>
      <c r="D383" s="48"/>
      <c r="E383" s="48"/>
      <c r="F383" s="48"/>
      <c r="G383" s="48"/>
      <c r="H383" s="48"/>
      <c r="I383" s="155"/>
      <c r="J383" s="122"/>
      <c r="K383" s="122"/>
      <c r="L383" s="122"/>
      <c r="M383" s="122"/>
      <c r="N383" s="122"/>
      <c r="O383" s="122"/>
      <c r="P383" s="778"/>
      <c r="Q383" s="778"/>
      <c r="R383" s="778"/>
      <c r="S383" s="778"/>
      <c r="T383" s="155"/>
      <c r="U383" s="155"/>
      <c r="V383" s="155"/>
    </row>
    <row r="384" spans="1:22" s="93" customFormat="1" ht="17.100000000000001" customHeight="1" x14ac:dyDescent="0.2">
      <c r="A384" s="507"/>
      <c r="B384" s="48"/>
      <c r="C384" s="48"/>
      <c r="D384" s="48"/>
      <c r="E384" s="48"/>
      <c r="F384" s="48"/>
      <c r="G384" s="48"/>
      <c r="H384" s="48"/>
      <c r="I384" s="155"/>
      <c r="J384" s="122"/>
      <c r="K384" s="122"/>
      <c r="L384" s="122"/>
      <c r="M384" s="122"/>
      <c r="N384" s="122"/>
      <c r="O384" s="122"/>
      <c r="P384" s="778"/>
      <c r="Q384" s="778"/>
      <c r="R384" s="778"/>
      <c r="S384" s="778"/>
      <c r="T384" s="155"/>
      <c r="U384" s="155"/>
      <c r="V384" s="155"/>
    </row>
    <row r="385" spans="1:22" s="93" customFormat="1" ht="17.100000000000001" customHeight="1" x14ac:dyDescent="0.2">
      <c r="A385" s="507"/>
      <c r="B385" s="48"/>
      <c r="C385" s="48"/>
      <c r="D385" s="48"/>
      <c r="E385" s="48"/>
      <c r="F385" s="996"/>
      <c r="G385" s="996"/>
      <c r="H385" s="996"/>
      <c r="I385" s="155"/>
      <c r="J385" s="122"/>
      <c r="K385" s="122"/>
      <c r="L385" s="122"/>
      <c r="M385" s="122"/>
      <c r="N385" s="122"/>
      <c r="O385" s="122"/>
      <c r="P385" s="778"/>
      <c r="Q385" s="778"/>
      <c r="R385" s="778"/>
      <c r="S385" s="778"/>
      <c r="T385" s="155"/>
      <c r="U385" s="155"/>
      <c r="V385" s="155"/>
    </row>
    <row r="386" spans="1:22" s="93" customFormat="1" ht="17.100000000000001" customHeight="1" x14ac:dyDescent="0.2">
      <c r="A386" s="507"/>
      <c r="B386" s="188"/>
      <c r="C386" s="188"/>
      <c r="D386" s="48"/>
      <c r="E386" s="48"/>
      <c r="F386" s="992"/>
      <c r="G386" s="992"/>
      <c r="H386" s="992"/>
      <c r="I386" s="155"/>
      <c r="J386" s="122"/>
      <c r="K386" s="122"/>
      <c r="L386" s="122"/>
      <c r="M386" s="122"/>
      <c r="N386" s="122"/>
      <c r="O386" s="122"/>
      <c r="P386" s="778"/>
      <c r="Q386" s="778"/>
      <c r="R386" s="778"/>
      <c r="S386" s="778"/>
      <c r="T386" s="155"/>
      <c r="U386" s="155"/>
      <c r="V386" s="155"/>
    </row>
    <row r="387" spans="1:22" s="93" customFormat="1" ht="17.100000000000001" customHeight="1" x14ac:dyDescent="0.2">
      <c r="A387" s="507"/>
      <c r="B387" s="48"/>
      <c r="C387" s="48"/>
      <c r="D387" s="48"/>
      <c r="E387" s="48"/>
      <c r="F387" s="992"/>
      <c r="G387" s="992"/>
      <c r="H387" s="992"/>
      <c r="I387" s="155"/>
      <c r="J387" s="122"/>
      <c r="K387" s="122"/>
      <c r="L387" s="122"/>
      <c r="M387" s="122"/>
      <c r="N387" s="122"/>
      <c r="O387" s="122"/>
      <c r="P387" s="778"/>
      <c r="Q387" s="778"/>
      <c r="R387" s="778"/>
      <c r="S387" s="778"/>
      <c r="T387" s="155"/>
      <c r="U387" s="155"/>
      <c r="V387" s="155"/>
    </row>
    <row r="388" spans="1:22" s="93" customFormat="1" ht="17.100000000000001" customHeight="1" x14ac:dyDescent="0.2">
      <c r="A388" s="507"/>
      <c r="B388" s="48"/>
      <c r="C388" s="48"/>
      <c r="D388" s="48"/>
      <c r="E388" s="48"/>
      <c r="F388" s="48"/>
      <c r="G388" s="48"/>
      <c r="H388" s="48"/>
      <c r="I388" s="155"/>
      <c r="J388" s="122"/>
      <c r="K388" s="122"/>
      <c r="L388" s="122"/>
      <c r="M388" s="122"/>
      <c r="N388" s="122"/>
      <c r="O388" s="122"/>
      <c r="P388" s="778"/>
      <c r="Q388" s="778"/>
      <c r="R388" s="778"/>
      <c r="S388" s="778"/>
      <c r="T388" s="155"/>
      <c r="U388" s="155"/>
      <c r="V388" s="155"/>
    </row>
    <row r="389" spans="1:22" s="93" customFormat="1" ht="17.100000000000001" customHeight="1" x14ac:dyDescent="0.2">
      <c r="A389" s="507"/>
      <c r="B389" s="48"/>
      <c r="C389" s="48"/>
      <c r="D389" s="48"/>
      <c r="E389" s="48"/>
      <c r="F389" s="48"/>
      <c r="G389" s="48"/>
      <c r="H389" s="48"/>
      <c r="I389" s="155"/>
      <c r="J389" s="122"/>
      <c r="K389" s="122"/>
      <c r="L389" s="122"/>
      <c r="M389" s="122"/>
      <c r="N389" s="122"/>
      <c r="O389" s="122"/>
      <c r="P389" s="778"/>
      <c r="Q389" s="778"/>
      <c r="R389" s="778"/>
      <c r="S389" s="778"/>
      <c r="T389" s="155"/>
      <c r="U389" s="155"/>
      <c r="V389" s="155"/>
    </row>
    <row r="390" spans="1:22" s="93" customFormat="1" ht="17.100000000000001" customHeight="1" x14ac:dyDescent="0.25">
      <c r="A390" s="186"/>
      <c r="B390" s="995"/>
      <c r="C390" s="995"/>
      <c r="D390" s="995"/>
      <c r="E390" s="995"/>
      <c r="F390" s="995"/>
      <c r="G390" s="995"/>
      <c r="H390" s="995"/>
      <c r="I390" s="155"/>
      <c r="J390" s="122"/>
      <c r="K390" s="122"/>
      <c r="L390" s="122"/>
      <c r="M390" s="122"/>
      <c r="N390" s="122"/>
      <c r="O390" s="122"/>
      <c r="P390" s="778"/>
      <c r="Q390" s="778"/>
      <c r="R390" s="778"/>
      <c r="S390" s="778"/>
      <c r="T390" s="155"/>
      <c r="U390" s="155"/>
      <c r="V390" s="155"/>
    </row>
    <row r="391" spans="1:22" s="93" customFormat="1" ht="17.100000000000001" customHeight="1" x14ac:dyDescent="0.2">
      <c r="A391" s="507"/>
      <c r="B391" s="48"/>
      <c r="C391" s="48"/>
      <c r="D391" s="48"/>
      <c r="E391" s="48"/>
      <c r="F391" s="48"/>
      <c r="G391" s="48"/>
      <c r="H391" s="48"/>
      <c r="I391" s="155"/>
      <c r="J391" s="122"/>
      <c r="K391" s="122"/>
      <c r="L391" s="122"/>
      <c r="M391" s="122"/>
      <c r="N391" s="122"/>
      <c r="O391" s="122"/>
      <c r="P391" s="778"/>
      <c r="Q391" s="778"/>
      <c r="R391" s="778"/>
      <c r="S391" s="778"/>
      <c r="T391" s="155"/>
      <c r="U391" s="155"/>
      <c r="V391" s="155"/>
    </row>
    <row r="392" spans="1:22" s="93" customFormat="1" ht="17.100000000000001" customHeight="1" x14ac:dyDescent="0.2">
      <c r="A392" s="507"/>
      <c r="B392" s="48"/>
      <c r="C392" s="48"/>
      <c r="D392" s="48"/>
      <c r="E392" s="48"/>
      <c r="F392" s="992"/>
      <c r="G392" s="992"/>
      <c r="H392" s="992"/>
      <c r="I392" s="155"/>
      <c r="J392" s="122"/>
      <c r="K392" s="122"/>
      <c r="L392" s="122"/>
      <c r="M392" s="122"/>
      <c r="N392" s="122"/>
      <c r="O392" s="122"/>
      <c r="P392" s="778"/>
      <c r="Q392" s="778"/>
      <c r="R392" s="778"/>
      <c r="S392" s="778"/>
      <c r="T392" s="155"/>
      <c r="U392" s="155"/>
      <c r="V392" s="155"/>
    </row>
    <row r="393" spans="1:22" s="93" customFormat="1" ht="17.100000000000001" customHeight="1" x14ac:dyDescent="0.2">
      <c r="A393" s="507"/>
      <c r="B393" s="992"/>
      <c r="C393" s="992"/>
      <c r="D393" s="992"/>
      <c r="E393" s="193"/>
      <c r="F393" s="992"/>
      <c r="G393" s="992"/>
      <c r="H393" s="992"/>
      <c r="I393" s="155"/>
      <c r="J393" s="122"/>
      <c r="K393" s="122"/>
      <c r="L393" s="122"/>
      <c r="M393" s="122"/>
      <c r="N393" s="122"/>
      <c r="O393" s="122"/>
      <c r="P393" s="778"/>
      <c r="Q393" s="778"/>
      <c r="R393" s="778"/>
      <c r="S393" s="778"/>
      <c r="T393" s="155"/>
      <c r="U393" s="155"/>
      <c r="V393" s="155"/>
    </row>
    <row r="394" spans="1:22" s="93" customFormat="1" ht="17.100000000000001" customHeight="1" x14ac:dyDescent="0.2">
      <c r="A394" s="507"/>
      <c r="B394" s="993"/>
      <c r="C394" s="993"/>
      <c r="D394" s="993"/>
      <c r="E394" s="503"/>
      <c r="F394" s="993"/>
      <c r="G394" s="993"/>
      <c r="H394" s="993"/>
      <c r="I394" s="155"/>
      <c r="J394" s="122"/>
      <c r="K394" s="122"/>
      <c r="L394" s="122"/>
      <c r="M394" s="122"/>
      <c r="N394" s="122"/>
      <c r="O394" s="122"/>
      <c r="P394" s="778"/>
      <c r="Q394" s="778"/>
      <c r="R394" s="778"/>
      <c r="S394" s="778"/>
      <c r="T394" s="155"/>
      <c r="U394" s="155"/>
      <c r="V394" s="155"/>
    </row>
    <row r="395" spans="1:22" s="93" customFormat="1" ht="17.100000000000001" customHeight="1" x14ac:dyDescent="0.2">
      <c r="A395" s="507"/>
      <c r="B395" s="48"/>
      <c r="C395" s="48"/>
      <c r="D395" s="48"/>
      <c r="E395" s="48"/>
      <c r="F395" s="48"/>
      <c r="G395" s="48"/>
      <c r="H395" s="48"/>
      <c r="I395" s="155"/>
      <c r="J395" s="122"/>
      <c r="K395" s="122"/>
      <c r="L395" s="122"/>
      <c r="M395" s="122"/>
      <c r="N395" s="122"/>
      <c r="O395" s="122"/>
      <c r="P395" s="778"/>
      <c r="Q395" s="778"/>
      <c r="R395" s="778"/>
      <c r="S395" s="778"/>
      <c r="T395" s="155"/>
      <c r="U395" s="155"/>
      <c r="V395" s="155"/>
    </row>
    <row r="396" spans="1:22" s="93" customFormat="1" ht="17.100000000000001" customHeight="1" x14ac:dyDescent="0.2">
      <c r="A396" s="507"/>
      <c r="B396" s="48"/>
      <c r="C396" s="48"/>
      <c r="D396" s="48"/>
      <c r="E396" s="48"/>
      <c r="F396" s="992"/>
      <c r="G396" s="992"/>
      <c r="H396" s="992"/>
      <c r="I396" s="155"/>
      <c r="J396" s="122"/>
      <c r="K396" s="122"/>
      <c r="L396" s="122"/>
      <c r="M396" s="122"/>
      <c r="N396" s="122"/>
      <c r="O396" s="122"/>
      <c r="P396" s="778"/>
      <c r="Q396" s="778"/>
      <c r="R396" s="778"/>
      <c r="S396" s="778"/>
      <c r="T396" s="155"/>
      <c r="U396" s="155"/>
      <c r="V396" s="155"/>
    </row>
    <row r="397" spans="1:22" s="93" customFormat="1" ht="17.100000000000001" customHeight="1" x14ac:dyDescent="0.2">
      <c r="A397" s="507"/>
      <c r="B397" s="992"/>
      <c r="C397" s="992"/>
      <c r="D397" s="992"/>
      <c r="E397" s="193"/>
      <c r="F397" s="992"/>
      <c r="G397" s="992"/>
      <c r="H397" s="992"/>
      <c r="I397" s="155"/>
      <c r="J397" s="122"/>
      <c r="K397" s="122"/>
      <c r="L397" s="122"/>
      <c r="M397" s="122"/>
      <c r="N397" s="122"/>
      <c r="O397" s="122"/>
      <c r="P397" s="778"/>
      <c r="Q397" s="778"/>
      <c r="R397" s="778"/>
      <c r="S397" s="778"/>
      <c r="T397" s="155"/>
      <c r="U397" s="155"/>
      <c r="V397" s="155"/>
    </row>
    <row r="398" spans="1:22" s="93" customFormat="1" ht="17.100000000000001" customHeight="1" x14ac:dyDescent="0.2">
      <c r="A398" s="507"/>
      <c r="B398" s="993"/>
      <c r="C398" s="993"/>
      <c r="D398" s="993"/>
      <c r="E398" s="503"/>
      <c r="F398" s="993"/>
      <c r="G398" s="993"/>
      <c r="H398" s="993"/>
      <c r="I398" s="155"/>
      <c r="J398" s="122"/>
      <c r="K398" s="122"/>
      <c r="L398" s="122"/>
      <c r="M398" s="122"/>
      <c r="N398" s="122"/>
      <c r="O398" s="122"/>
      <c r="P398" s="778"/>
      <c r="Q398" s="778"/>
      <c r="R398" s="778"/>
      <c r="S398" s="778"/>
      <c r="T398" s="155"/>
      <c r="U398" s="155"/>
      <c r="V398" s="155"/>
    </row>
    <row r="399" spans="1:22" s="93" customFormat="1" ht="17.100000000000001" customHeight="1" x14ac:dyDescent="0.25">
      <c r="A399" s="186"/>
      <c r="B399" s="994"/>
      <c r="C399" s="994"/>
      <c r="D399" s="994"/>
      <c r="E399" s="994"/>
      <c r="F399" s="994"/>
      <c r="G399" s="994"/>
      <c r="H399" s="994"/>
      <c r="I399" s="155"/>
      <c r="J399" s="122"/>
      <c r="K399" s="122"/>
      <c r="L399" s="122"/>
      <c r="M399" s="122"/>
      <c r="N399" s="122"/>
      <c r="O399" s="122"/>
      <c r="P399" s="778"/>
      <c r="Q399" s="778"/>
      <c r="R399" s="778"/>
      <c r="S399" s="778"/>
      <c r="T399" s="155"/>
      <c r="U399" s="155"/>
      <c r="V399" s="155"/>
    </row>
    <row r="400" spans="1:22" s="93" customFormat="1" ht="17.100000000000001" customHeight="1" x14ac:dyDescent="0.2">
      <c r="A400" s="507"/>
      <c r="B400" s="992"/>
      <c r="C400" s="992"/>
      <c r="D400" s="992"/>
      <c r="E400" s="992"/>
      <c r="F400" s="992"/>
      <c r="G400" s="992"/>
      <c r="H400" s="992"/>
      <c r="I400" s="155"/>
      <c r="J400" s="122"/>
      <c r="K400" s="122"/>
      <c r="L400" s="122"/>
      <c r="M400" s="122"/>
      <c r="N400" s="122"/>
      <c r="O400" s="122"/>
      <c r="P400" s="778"/>
      <c r="Q400" s="778"/>
      <c r="R400" s="778"/>
      <c r="S400" s="778"/>
      <c r="T400" s="155"/>
      <c r="U400" s="155"/>
      <c r="V400" s="155"/>
    </row>
    <row r="401" spans="1:22" s="93" customFormat="1" ht="17.100000000000001" customHeight="1" x14ac:dyDescent="0.2">
      <c r="A401" s="507"/>
      <c r="B401" s="992"/>
      <c r="C401" s="992"/>
      <c r="D401" s="992"/>
      <c r="E401" s="992"/>
      <c r="F401" s="992"/>
      <c r="G401" s="992"/>
      <c r="H401" s="992"/>
      <c r="I401" s="155"/>
      <c r="J401" s="122"/>
      <c r="K401" s="122"/>
      <c r="L401" s="122"/>
      <c r="M401" s="122"/>
      <c r="N401" s="122"/>
      <c r="O401" s="122"/>
      <c r="P401" s="778"/>
      <c r="Q401" s="778"/>
      <c r="R401" s="778"/>
      <c r="S401" s="778"/>
      <c r="T401" s="155"/>
      <c r="U401" s="155"/>
      <c r="V401" s="155"/>
    </row>
    <row r="402" spans="1:22" s="93" customFormat="1" ht="17.100000000000001" customHeight="1" x14ac:dyDescent="0.2">
      <c r="A402" s="507"/>
      <c r="B402" s="992"/>
      <c r="C402" s="992"/>
      <c r="D402" s="992"/>
      <c r="E402" s="992"/>
      <c r="F402" s="992"/>
      <c r="G402" s="992"/>
      <c r="H402" s="992"/>
      <c r="I402" s="155"/>
      <c r="J402" s="122"/>
      <c r="K402" s="122"/>
      <c r="L402" s="122"/>
      <c r="M402" s="122"/>
      <c r="N402" s="122"/>
      <c r="O402" s="122"/>
      <c r="P402" s="778"/>
      <c r="Q402" s="778"/>
      <c r="R402" s="778"/>
      <c r="S402" s="778"/>
      <c r="T402" s="155"/>
      <c r="U402" s="155"/>
      <c r="V402" s="155"/>
    </row>
    <row r="403" spans="1:22" s="93" customFormat="1" ht="17.100000000000001" customHeight="1" x14ac:dyDescent="0.2">
      <c r="A403" s="507"/>
      <c r="B403" s="992"/>
      <c r="C403" s="992"/>
      <c r="D403" s="992"/>
      <c r="E403" s="992"/>
      <c r="F403" s="992"/>
      <c r="G403" s="992"/>
      <c r="H403" s="992"/>
      <c r="I403" s="155"/>
      <c r="J403" s="122"/>
      <c r="K403" s="122"/>
      <c r="L403" s="122"/>
      <c r="M403" s="122"/>
      <c r="N403" s="122"/>
      <c r="O403" s="122"/>
      <c r="P403" s="778"/>
      <c r="Q403" s="778"/>
      <c r="R403" s="778"/>
      <c r="S403" s="778"/>
      <c r="T403" s="155"/>
      <c r="U403" s="155"/>
      <c r="V403" s="155"/>
    </row>
    <row r="404" spans="1:22" s="93" customFormat="1" ht="17.100000000000001" customHeight="1" x14ac:dyDescent="0.2">
      <c r="A404" s="188"/>
      <c r="B404" s="188"/>
      <c r="C404" s="188"/>
      <c r="D404" s="188"/>
      <c r="E404" s="188"/>
      <c r="F404" s="188"/>
      <c r="G404" s="188"/>
      <c r="H404" s="188"/>
      <c r="I404" s="155"/>
      <c r="J404" s="122"/>
      <c r="K404" s="122"/>
      <c r="L404" s="122"/>
      <c r="M404" s="122"/>
      <c r="N404" s="122"/>
      <c r="O404" s="122"/>
      <c r="P404" s="778"/>
      <c r="Q404" s="778"/>
      <c r="R404" s="778"/>
      <c r="S404" s="778"/>
      <c r="T404" s="155"/>
      <c r="U404" s="155"/>
      <c r="V404" s="155"/>
    </row>
    <row r="405" spans="1:22" s="93" customFormat="1" ht="17.100000000000001" customHeight="1" x14ac:dyDescent="0.2">
      <c r="A405" s="188"/>
      <c r="B405" s="188"/>
      <c r="C405" s="188"/>
      <c r="D405" s="188"/>
      <c r="E405" s="188"/>
      <c r="F405" s="188"/>
      <c r="G405" s="188"/>
      <c r="H405" s="188"/>
      <c r="I405" s="155"/>
      <c r="J405" s="122"/>
      <c r="K405" s="122"/>
      <c r="L405" s="122"/>
      <c r="M405" s="122"/>
      <c r="N405" s="122"/>
      <c r="O405" s="122"/>
      <c r="P405" s="778"/>
      <c r="Q405" s="778"/>
      <c r="R405" s="778"/>
      <c r="S405" s="778"/>
      <c r="T405" s="155"/>
      <c r="U405" s="155"/>
      <c r="V405" s="155"/>
    </row>
    <row r="406" spans="1:22" s="93" customFormat="1" ht="17.100000000000001" customHeight="1" x14ac:dyDescent="0.2">
      <c r="B406" s="188"/>
      <c r="C406" s="188"/>
      <c r="D406" s="188"/>
      <c r="E406" s="188"/>
      <c r="F406" s="188"/>
      <c r="G406" s="188"/>
      <c r="H406" s="188"/>
      <c r="I406" s="155"/>
      <c r="J406" s="122"/>
      <c r="K406" s="122"/>
      <c r="L406" s="122"/>
      <c r="M406" s="122"/>
      <c r="N406" s="122"/>
      <c r="O406" s="122"/>
      <c r="P406" s="778"/>
      <c r="Q406" s="778"/>
      <c r="R406" s="778"/>
      <c r="S406" s="778"/>
      <c r="T406" s="155"/>
      <c r="U406" s="155"/>
      <c r="V406" s="155"/>
    </row>
    <row r="407" spans="1:22" s="93" customFormat="1" ht="17.100000000000001" customHeight="1" x14ac:dyDescent="0.2">
      <c r="B407" s="188"/>
      <c r="C407" s="188"/>
      <c r="D407" s="188"/>
      <c r="E407" s="188"/>
      <c r="F407" s="188"/>
      <c r="G407" s="188"/>
      <c r="H407" s="188"/>
      <c r="I407" s="155"/>
      <c r="J407" s="122"/>
      <c r="K407" s="122"/>
      <c r="L407" s="122"/>
      <c r="M407" s="122"/>
      <c r="N407" s="122"/>
      <c r="O407" s="122"/>
      <c r="P407" s="778"/>
      <c r="Q407" s="778"/>
      <c r="R407" s="778"/>
      <c r="S407" s="778"/>
      <c r="T407" s="155"/>
      <c r="U407" s="155"/>
      <c r="V407" s="155"/>
    </row>
    <row r="408" spans="1:22" s="93" customFormat="1" ht="17.100000000000001" customHeight="1" x14ac:dyDescent="0.2">
      <c r="B408" s="188"/>
      <c r="C408" s="188"/>
      <c r="D408" s="188"/>
      <c r="E408" s="188"/>
      <c r="F408" s="188"/>
      <c r="G408" s="188"/>
      <c r="H408" s="188"/>
      <c r="I408" s="155"/>
      <c r="J408" s="122"/>
      <c r="K408" s="122"/>
      <c r="L408" s="122"/>
      <c r="M408" s="122"/>
      <c r="N408" s="122"/>
      <c r="O408" s="122"/>
      <c r="P408" s="778"/>
      <c r="Q408" s="778"/>
      <c r="R408" s="778"/>
      <c r="S408" s="778"/>
      <c r="T408" s="155"/>
      <c r="U408" s="155"/>
      <c r="V408" s="155"/>
    </row>
    <row r="409" spans="1:22" s="93" customFormat="1" ht="17.100000000000001" customHeight="1" x14ac:dyDescent="0.2">
      <c r="B409" s="188"/>
      <c r="C409" s="188"/>
      <c r="D409" s="188"/>
      <c r="E409" s="188"/>
      <c r="F409" s="188"/>
      <c r="G409" s="188"/>
      <c r="H409" s="188"/>
      <c r="I409" s="155"/>
      <c r="J409" s="122"/>
      <c r="K409" s="122"/>
      <c r="L409" s="122"/>
      <c r="M409" s="122"/>
      <c r="N409" s="122"/>
      <c r="O409" s="122"/>
      <c r="P409" s="778"/>
      <c r="Q409" s="778"/>
      <c r="R409" s="778"/>
      <c r="S409" s="778"/>
      <c r="T409" s="155"/>
      <c r="U409" s="155"/>
      <c r="V409" s="155"/>
    </row>
    <row r="410" spans="1:22" s="93" customFormat="1" ht="17.100000000000001" customHeight="1" x14ac:dyDescent="0.2">
      <c r="B410" s="188"/>
      <c r="C410" s="188"/>
      <c r="D410" s="188"/>
      <c r="E410" s="188"/>
      <c r="F410" s="188"/>
      <c r="G410" s="188"/>
      <c r="H410" s="188"/>
      <c r="I410" s="155"/>
      <c r="J410" s="122"/>
      <c r="K410" s="122"/>
      <c r="L410" s="122"/>
      <c r="M410" s="122"/>
      <c r="N410" s="122"/>
      <c r="O410" s="122"/>
      <c r="P410" s="778"/>
      <c r="Q410" s="778"/>
      <c r="R410" s="778"/>
      <c r="S410" s="778"/>
      <c r="T410" s="155"/>
      <c r="U410" s="155"/>
      <c r="V410" s="155"/>
    </row>
    <row r="411" spans="1:22" s="93" customFormat="1" ht="17.100000000000001" customHeight="1" x14ac:dyDescent="0.2">
      <c r="B411" s="188"/>
      <c r="C411" s="188"/>
      <c r="D411" s="188"/>
      <c r="E411" s="188"/>
      <c r="F411" s="188"/>
      <c r="G411" s="188"/>
      <c r="H411" s="188"/>
      <c r="I411" s="155"/>
      <c r="J411" s="122"/>
      <c r="K411" s="122"/>
      <c r="L411" s="122"/>
      <c r="M411" s="122"/>
      <c r="N411" s="122"/>
      <c r="O411" s="122"/>
      <c r="P411" s="778"/>
      <c r="Q411" s="778"/>
      <c r="R411" s="778"/>
      <c r="S411" s="778"/>
      <c r="T411" s="155"/>
      <c r="U411" s="155"/>
      <c r="V411" s="155"/>
    </row>
    <row r="412" spans="1:22" s="93" customFormat="1" ht="17.100000000000001" customHeight="1" x14ac:dyDescent="0.2">
      <c r="B412" s="188"/>
      <c r="C412" s="188"/>
      <c r="D412" s="188"/>
      <c r="E412" s="188"/>
      <c r="F412" s="188"/>
      <c r="G412" s="188"/>
      <c r="H412" s="188"/>
      <c r="I412" s="155"/>
      <c r="J412" s="122"/>
      <c r="K412" s="122"/>
      <c r="L412" s="122"/>
      <c r="M412" s="122"/>
      <c r="N412" s="122"/>
      <c r="O412" s="122"/>
      <c r="P412" s="778"/>
      <c r="Q412" s="778"/>
      <c r="R412" s="778"/>
      <c r="S412" s="778"/>
      <c r="T412" s="155"/>
      <c r="U412" s="155"/>
      <c r="V412" s="155"/>
    </row>
    <row r="413" spans="1:22" s="93" customFormat="1" ht="17.100000000000001" customHeight="1" x14ac:dyDescent="0.2">
      <c r="B413" s="188"/>
      <c r="C413" s="188"/>
      <c r="D413" s="188"/>
      <c r="E413" s="188"/>
      <c r="F413" s="188"/>
      <c r="G413" s="188"/>
      <c r="H413" s="188"/>
      <c r="I413" s="155"/>
      <c r="J413" s="122"/>
      <c r="K413" s="122"/>
      <c r="L413" s="122"/>
      <c r="M413" s="122"/>
      <c r="N413" s="122"/>
      <c r="O413" s="122"/>
      <c r="P413" s="778"/>
      <c r="Q413" s="778"/>
      <c r="R413" s="778"/>
      <c r="S413" s="778"/>
      <c r="T413" s="155"/>
      <c r="U413" s="155"/>
      <c r="V413" s="155"/>
    </row>
    <row r="414" spans="1:22" s="93" customFormat="1" ht="17.100000000000001" customHeight="1" x14ac:dyDescent="0.2">
      <c r="B414" s="188"/>
      <c r="C414" s="188"/>
      <c r="D414" s="188"/>
      <c r="E414" s="188"/>
      <c r="F414" s="188"/>
      <c r="G414" s="188"/>
      <c r="H414" s="188"/>
      <c r="I414" s="155"/>
      <c r="J414" s="122"/>
      <c r="K414" s="122"/>
      <c r="L414" s="122"/>
      <c r="M414" s="122"/>
      <c r="N414" s="122"/>
      <c r="O414" s="122"/>
      <c r="P414" s="778"/>
      <c r="Q414" s="778"/>
      <c r="R414" s="778"/>
      <c r="S414" s="778"/>
      <c r="T414" s="155"/>
      <c r="U414" s="155"/>
      <c r="V414" s="155"/>
    </row>
    <row r="415" spans="1:22" s="93" customFormat="1" ht="17.100000000000001" customHeight="1" x14ac:dyDescent="0.2">
      <c r="B415" s="188"/>
      <c r="C415" s="188"/>
      <c r="D415" s="188"/>
      <c r="E415" s="188"/>
      <c r="F415" s="188"/>
      <c r="G415" s="188"/>
      <c r="H415" s="188"/>
      <c r="I415" s="155"/>
      <c r="J415" s="122"/>
      <c r="K415" s="122"/>
      <c r="L415" s="122"/>
      <c r="M415" s="122"/>
      <c r="N415" s="122"/>
      <c r="O415" s="122"/>
      <c r="P415" s="778"/>
      <c r="Q415" s="778"/>
      <c r="R415" s="778"/>
      <c r="S415" s="778"/>
      <c r="T415" s="155"/>
      <c r="U415" s="155"/>
      <c r="V415" s="155"/>
    </row>
    <row r="416" spans="1:22" s="93" customFormat="1" ht="17.100000000000001" customHeight="1" x14ac:dyDescent="0.2">
      <c r="B416" s="188"/>
      <c r="C416" s="188"/>
      <c r="D416" s="188"/>
      <c r="E416" s="188"/>
      <c r="F416" s="188"/>
      <c r="G416" s="188"/>
      <c r="H416" s="188"/>
      <c r="I416" s="155"/>
      <c r="J416" s="122"/>
      <c r="K416" s="122"/>
      <c r="L416" s="122"/>
      <c r="M416" s="122"/>
      <c r="N416" s="122"/>
      <c r="O416" s="122"/>
      <c r="P416" s="778"/>
      <c r="Q416" s="778"/>
      <c r="R416" s="778"/>
      <c r="S416" s="778"/>
      <c r="T416" s="155"/>
      <c r="U416" s="155"/>
      <c r="V416" s="155"/>
    </row>
    <row r="417" spans="2:22" s="93" customFormat="1" ht="17.100000000000001" customHeight="1" x14ac:dyDescent="0.2">
      <c r="B417" s="188"/>
      <c r="C417" s="188"/>
      <c r="D417" s="188"/>
      <c r="E417" s="188"/>
      <c r="F417" s="188"/>
      <c r="G417" s="188"/>
      <c r="H417" s="188"/>
      <c r="I417" s="155"/>
      <c r="J417" s="122"/>
      <c r="K417" s="122"/>
      <c r="L417" s="122"/>
      <c r="M417" s="122"/>
      <c r="N417" s="122"/>
      <c r="O417" s="122"/>
      <c r="P417" s="778"/>
      <c r="Q417" s="778"/>
      <c r="R417" s="778"/>
      <c r="S417" s="778"/>
      <c r="T417" s="155"/>
      <c r="U417" s="155"/>
      <c r="V417" s="155"/>
    </row>
    <row r="418" spans="2:22" s="93" customFormat="1" ht="17.100000000000001" customHeight="1" x14ac:dyDescent="0.2">
      <c r="B418" s="188"/>
      <c r="C418" s="188"/>
      <c r="D418" s="188"/>
      <c r="E418" s="188"/>
      <c r="F418" s="188"/>
      <c r="G418" s="188"/>
      <c r="H418" s="188"/>
      <c r="I418" s="155"/>
      <c r="J418" s="122"/>
      <c r="K418" s="122"/>
      <c r="L418" s="122"/>
      <c r="M418" s="122"/>
      <c r="N418" s="122"/>
      <c r="O418" s="122"/>
      <c r="P418" s="778"/>
      <c r="Q418" s="778"/>
      <c r="R418" s="778"/>
      <c r="S418" s="778"/>
      <c r="T418" s="155"/>
      <c r="U418" s="155"/>
      <c r="V418" s="155"/>
    </row>
    <row r="419" spans="2:22" s="93" customFormat="1" ht="17.100000000000001" customHeight="1" x14ac:dyDescent="0.2">
      <c r="B419" s="188"/>
      <c r="C419" s="188"/>
      <c r="D419" s="188"/>
      <c r="E419" s="188"/>
      <c r="F419" s="188"/>
      <c r="G419" s="188"/>
      <c r="H419" s="188"/>
      <c r="I419" s="155"/>
      <c r="J419" s="122"/>
      <c r="K419" s="122"/>
      <c r="L419" s="122"/>
      <c r="M419" s="122"/>
      <c r="N419" s="122"/>
      <c r="O419" s="122"/>
      <c r="P419" s="778"/>
      <c r="Q419" s="778"/>
      <c r="R419" s="778"/>
      <c r="S419" s="778"/>
      <c r="T419" s="155"/>
      <c r="U419" s="155"/>
      <c r="V419" s="155"/>
    </row>
    <row r="420" spans="2:22" s="93" customFormat="1" ht="17.100000000000001" customHeight="1" x14ac:dyDescent="0.2">
      <c r="B420" s="188"/>
      <c r="C420" s="188"/>
      <c r="D420" s="188"/>
      <c r="E420" s="188"/>
      <c r="F420" s="188"/>
      <c r="G420" s="188"/>
      <c r="H420" s="188"/>
      <c r="I420" s="155"/>
      <c r="J420" s="122"/>
      <c r="K420" s="122"/>
      <c r="L420" s="122"/>
      <c r="M420" s="122"/>
      <c r="N420" s="122"/>
      <c r="O420" s="122"/>
      <c r="P420" s="778"/>
      <c r="Q420" s="778"/>
      <c r="R420" s="778"/>
      <c r="S420" s="778"/>
      <c r="T420" s="155"/>
      <c r="U420" s="155"/>
      <c r="V420" s="155"/>
    </row>
    <row r="421" spans="2:22" s="93" customFormat="1" ht="17.100000000000001" customHeight="1" x14ac:dyDescent="0.2">
      <c r="B421" s="188"/>
      <c r="C421" s="188"/>
      <c r="D421" s="188"/>
      <c r="E421" s="188"/>
      <c r="F421" s="188"/>
      <c r="G421" s="188"/>
      <c r="H421" s="188"/>
      <c r="I421" s="155"/>
      <c r="J421" s="122"/>
      <c r="K421" s="122"/>
      <c r="L421" s="122"/>
      <c r="M421" s="122"/>
      <c r="N421" s="122"/>
      <c r="O421" s="122"/>
      <c r="P421" s="778"/>
      <c r="Q421" s="778"/>
      <c r="R421" s="778"/>
      <c r="S421" s="778"/>
      <c r="T421" s="155"/>
      <c r="U421" s="155"/>
      <c r="V421" s="155"/>
    </row>
    <row r="422" spans="2:22" s="93" customFormat="1" ht="17.100000000000001" customHeight="1" x14ac:dyDescent="0.2">
      <c r="B422" s="188"/>
      <c r="C422" s="188"/>
      <c r="D422" s="188"/>
      <c r="E422" s="188"/>
      <c r="F422" s="188"/>
      <c r="G422" s="188"/>
      <c r="H422" s="188"/>
      <c r="I422" s="155"/>
      <c r="J422" s="122"/>
      <c r="K422" s="122"/>
      <c r="L422" s="122"/>
      <c r="M422" s="122"/>
      <c r="N422" s="122"/>
      <c r="O422" s="122"/>
      <c r="P422" s="778"/>
      <c r="Q422" s="778"/>
      <c r="R422" s="778"/>
      <c r="S422" s="778"/>
      <c r="T422" s="155"/>
      <c r="U422" s="155"/>
      <c r="V422" s="155"/>
    </row>
    <row r="423" spans="2:22" s="93" customFormat="1" ht="17.100000000000001" customHeight="1" x14ac:dyDescent="0.2">
      <c r="B423" s="188"/>
      <c r="C423" s="188"/>
      <c r="D423" s="188"/>
      <c r="E423" s="188"/>
      <c r="F423" s="188"/>
      <c r="G423" s="188"/>
      <c r="H423" s="188"/>
      <c r="I423" s="155"/>
      <c r="J423" s="122"/>
      <c r="K423" s="122"/>
      <c r="L423" s="122"/>
      <c r="M423" s="122"/>
      <c r="N423" s="122"/>
      <c r="O423" s="122"/>
      <c r="P423" s="778"/>
      <c r="Q423" s="778"/>
      <c r="R423" s="778"/>
      <c r="S423" s="778"/>
      <c r="T423" s="155"/>
      <c r="U423" s="155"/>
      <c r="V423" s="155"/>
    </row>
    <row r="424" spans="2:22" s="93" customFormat="1" ht="17.100000000000001" customHeight="1" x14ac:dyDescent="0.2">
      <c r="B424" s="188"/>
      <c r="C424" s="188"/>
      <c r="D424" s="188"/>
      <c r="E424" s="188"/>
      <c r="F424" s="188"/>
      <c r="G424" s="188"/>
      <c r="H424" s="188"/>
      <c r="I424" s="155"/>
      <c r="J424" s="122"/>
      <c r="K424" s="122"/>
      <c r="L424" s="122"/>
      <c r="M424" s="122"/>
      <c r="N424" s="122"/>
      <c r="O424" s="122"/>
      <c r="P424" s="778"/>
      <c r="Q424" s="778"/>
      <c r="R424" s="778"/>
      <c r="S424" s="778"/>
      <c r="T424" s="155"/>
      <c r="U424" s="155"/>
      <c r="V424" s="155"/>
    </row>
    <row r="425" spans="2:22" s="93" customFormat="1" ht="17.100000000000001" customHeight="1" x14ac:dyDescent="0.2">
      <c r="B425" s="188"/>
      <c r="C425" s="188"/>
      <c r="D425" s="188"/>
      <c r="E425" s="188"/>
      <c r="F425" s="188"/>
      <c r="G425" s="188"/>
      <c r="H425" s="188"/>
      <c r="I425" s="155"/>
      <c r="J425" s="122"/>
      <c r="K425" s="122"/>
      <c r="L425" s="122"/>
      <c r="M425" s="122"/>
      <c r="N425" s="122"/>
      <c r="O425" s="122"/>
      <c r="P425" s="778"/>
      <c r="Q425" s="778"/>
      <c r="R425" s="778"/>
      <c r="S425" s="778"/>
      <c r="T425" s="155"/>
      <c r="U425" s="155"/>
      <c r="V425" s="155"/>
    </row>
    <row r="426" spans="2:22" s="93" customFormat="1" ht="17.100000000000001" customHeight="1" x14ac:dyDescent="0.2">
      <c r="B426" s="188"/>
      <c r="C426" s="188"/>
      <c r="D426" s="188"/>
      <c r="E426" s="188"/>
      <c r="F426" s="188"/>
      <c r="G426" s="188"/>
      <c r="H426" s="188"/>
      <c r="I426" s="155"/>
      <c r="J426" s="122"/>
      <c r="K426" s="122"/>
      <c r="L426" s="122"/>
      <c r="M426" s="122"/>
      <c r="N426" s="122"/>
      <c r="O426" s="122"/>
      <c r="P426" s="778"/>
      <c r="Q426" s="778"/>
      <c r="R426" s="778"/>
      <c r="S426" s="778"/>
      <c r="T426" s="155"/>
      <c r="U426" s="155"/>
      <c r="V426" s="155"/>
    </row>
    <row r="427" spans="2:22" s="93" customFormat="1" ht="17.100000000000001" customHeight="1" x14ac:dyDescent="0.2">
      <c r="B427" s="188"/>
      <c r="C427" s="188"/>
      <c r="D427" s="188"/>
      <c r="E427" s="188"/>
      <c r="F427" s="188"/>
      <c r="G427" s="188"/>
      <c r="H427" s="188"/>
      <c r="I427" s="155"/>
      <c r="J427" s="122"/>
      <c r="K427" s="122"/>
      <c r="L427" s="122"/>
      <c r="M427" s="122"/>
      <c r="N427" s="122"/>
      <c r="O427" s="122"/>
      <c r="P427" s="778"/>
      <c r="Q427" s="778"/>
      <c r="R427" s="778"/>
      <c r="S427" s="778"/>
      <c r="T427" s="155"/>
      <c r="U427" s="155"/>
      <c r="V427" s="155"/>
    </row>
    <row r="428" spans="2:22" s="93" customFormat="1" ht="17.100000000000001" customHeight="1" x14ac:dyDescent="0.2">
      <c r="B428" s="188"/>
      <c r="C428" s="188"/>
      <c r="D428" s="188"/>
      <c r="E428" s="188"/>
      <c r="F428" s="188"/>
      <c r="G428" s="188"/>
      <c r="H428" s="188"/>
      <c r="I428" s="155"/>
      <c r="J428" s="122"/>
      <c r="K428" s="122"/>
      <c r="L428" s="122"/>
      <c r="M428" s="122"/>
      <c r="N428" s="122"/>
      <c r="O428" s="122"/>
      <c r="P428" s="778"/>
      <c r="Q428" s="778"/>
      <c r="R428" s="778"/>
      <c r="S428" s="778"/>
      <c r="T428" s="155"/>
      <c r="U428" s="155"/>
      <c r="V428" s="155"/>
    </row>
    <row r="429" spans="2:22" s="93" customFormat="1" ht="17.100000000000001" customHeight="1" x14ac:dyDescent="0.2">
      <c r="B429" s="188"/>
      <c r="C429" s="188"/>
      <c r="D429" s="188"/>
      <c r="E429" s="188"/>
      <c r="F429" s="188"/>
      <c r="G429" s="188"/>
      <c r="H429" s="188"/>
      <c r="I429" s="155"/>
      <c r="J429" s="122"/>
      <c r="K429" s="122"/>
      <c r="L429" s="122"/>
      <c r="M429" s="122"/>
      <c r="N429" s="122"/>
      <c r="O429" s="122"/>
      <c r="P429" s="778"/>
      <c r="Q429" s="778"/>
      <c r="R429" s="778"/>
      <c r="S429" s="778"/>
      <c r="T429" s="155"/>
      <c r="U429" s="155"/>
      <c r="V429" s="155"/>
    </row>
    <row r="430" spans="2:22" s="93" customFormat="1" ht="17.100000000000001" customHeight="1" x14ac:dyDescent="0.2">
      <c r="B430" s="188"/>
      <c r="C430" s="188"/>
      <c r="D430" s="188"/>
      <c r="E430" s="188"/>
      <c r="F430" s="188"/>
      <c r="G430" s="188"/>
      <c r="H430" s="188"/>
      <c r="I430" s="155"/>
      <c r="J430" s="122"/>
      <c r="K430" s="122"/>
      <c r="L430" s="122"/>
      <c r="M430" s="122"/>
      <c r="N430" s="122"/>
      <c r="O430" s="122"/>
      <c r="P430" s="778"/>
      <c r="Q430" s="778"/>
      <c r="R430" s="778"/>
      <c r="S430" s="778"/>
      <c r="T430" s="155"/>
      <c r="U430" s="155"/>
      <c r="V430" s="155"/>
    </row>
    <row r="431" spans="2:22" s="93" customFormat="1" ht="17.100000000000001" customHeight="1" x14ac:dyDescent="0.2">
      <c r="B431" s="188"/>
      <c r="C431" s="188"/>
      <c r="D431" s="188"/>
      <c r="E431" s="188"/>
      <c r="F431" s="188"/>
      <c r="G431" s="188"/>
      <c r="H431" s="188"/>
      <c r="I431" s="155"/>
      <c r="J431" s="122"/>
      <c r="K431" s="122"/>
      <c r="L431" s="122"/>
      <c r="M431" s="122"/>
      <c r="N431" s="122"/>
      <c r="O431" s="122"/>
      <c r="P431" s="778"/>
      <c r="Q431" s="778"/>
      <c r="R431" s="778"/>
      <c r="S431" s="778"/>
      <c r="T431" s="155"/>
      <c r="U431" s="155"/>
      <c r="V431" s="155"/>
    </row>
    <row r="432" spans="2:22" s="93" customFormat="1" ht="17.100000000000001" customHeight="1" x14ac:dyDescent="0.2">
      <c r="B432" s="188"/>
      <c r="C432" s="188"/>
      <c r="D432" s="188"/>
      <c r="E432" s="188"/>
      <c r="F432" s="188"/>
      <c r="G432" s="188"/>
      <c r="H432" s="188"/>
      <c r="I432" s="155"/>
      <c r="J432" s="122"/>
      <c r="K432" s="122"/>
      <c r="L432" s="122"/>
      <c r="M432" s="122"/>
      <c r="N432" s="122"/>
      <c r="O432" s="122"/>
      <c r="P432" s="778"/>
      <c r="Q432" s="778"/>
      <c r="R432" s="778"/>
      <c r="S432" s="778"/>
      <c r="T432" s="155"/>
      <c r="U432" s="155"/>
      <c r="V432" s="155"/>
    </row>
    <row r="433" spans="2:22" s="93" customFormat="1" ht="17.100000000000001" customHeight="1" x14ac:dyDescent="0.2">
      <c r="B433" s="188"/>
      <c r="C433" s="188"/>
      <c r="D433" s="188"/>
      <c r="E433" s="188"/>
      <c r="F433" s="188"/>
      <c r="G433" s="188"/>
      <c r="H433" s="188"/>
      <c r="I433" s="155"/>
      <c r="J433" s="122"/>
      <c r="K433" s="122"/>
      <c r="L433" s="122"/>
      <c r="M433" s="122"/>
      <c r="N433" s="122"/>
      <c r="O433" s="122"/>
      <c r="P433" s="778"/>
      <c r="Q433" s="778"/>
      <c r="R433" s="778"/>
      <c r="S433" s="778"/>
      <c r="T433" s="155"/>
      <c r="U433" s="155"/>
      <c r="V433" s="155"/>
    </row>
    <row r="434" spans="2:22" s="93" customFormat="1" ht="17.100000000000001" customHeight="1" x14ac:dyDescent="0.2">
      <c r="B434" s="188"/>
      <c r="C434" s="188"/>
      <c r="D434" s="188"/>
      <c r="E434" s="188"/>
      <c r="F434" s="188"/>
      <c r="G434" s="188"/>
      <c r="H434" s="188"/>
      <c r="I434" s="155"/>
      <c r="J434" s="122"/>
      <c r="K434" s="122"/>
      <c r="L434" s="122"/>
      <c r="M434" s="122"/>
      <c r="N434" s="122"/>
      <c r="O434" s="122"/>
      <c r="P434" s="778"/>
      <c r="Q434" s="778"/>
      <c r="R434" s="778"/>
      <c r="S434" s="778"/>
      <c r="T434" s="155"/>
      <c r="U434" s="155"/>
      <c r="V434" s="155"/>
    </row>
    <row r="435" spans="2:22" s="93" customFormat="1" ht="17.100000000000001" customHeight="1" x14ac:dyDescent="0.2">
      <c r="B435" s="188"/>
      <c r="C435" s="188"/>
      <c r="D435" s="188"/>
      <c r="E435" s="188"/>
      <c r="F435" s="188"/>
      <c r="G435" s="188"/>
      <c r="H435" s="188"/>
      <c r="I435" s="155"/>
      <c r="J435" s="122"/>
      <c r="K435" s="122"/>
      <c r="L435" s="122"/>
      <c r="M435" s="122"/>
      <c r="N435" s="122"/>
      <c r="O435" s="122"/>
      <c r="P435" s="778"/>
      <c r="Q435" s="778"/>
      <c r="R435" s="778"/>
      <c r="S435" s="778"/>
      <c r="T435" s="155"/>
      <c r="U435" s="155"/>
      <c r="V435" s="155"/>
    </row>
    <row r="436" spans="2:22" s="93" customFormat="1" ht="17.100000000000001" customHeight="1" x14ac:dyDescent="0.2">
      <c r="B436" s="188"/>
      <c r="C436" s="188"/>
      <c r="D436" s="188"/>
      <c r="E436" s="188"/>
      <c r="F436" s="188"/>
      <c r="G436" s="188"/>
      <c r="H436" s="188"/>
      <c r="I436" s="155"/>
      <c r="J436" s="122"/>
      <c r="K436" s="122"/>
      <c r="L436" s="122"/>
      <c r="M436" s="122"/>
      <c r="N436" s="122"/>
      <c r="O436" s="122"/>
      <c r="P436" s="778"/>
      <c r="Q436" s="778"/>
      <c r="R436" s="778"/>
      <c r="S436" s="778"/>
      <c r="T436" s="155"/>
      <c r="U436" s="155"/>
      <c r="V436" s="155"/>
    </row>
    <row r="437" spans="2:22" s="93" customFormat="1" ht="17.100000000000001" customHeight="1" x14ac:dyDescent="0.2">
      <c r="B437" s="188"/>
      <c r="C437" s="188"/>
      <c r="D437" s="188"/>
      <c r="E437" s="188"/>
      <c r="F437" s="188"/>
      <c r="G437" s="188"/>
      <c r="H437" s="188"/>
      <c r="I437" s="155"/>
      <c r="J437" s="122"/>
      <c r="K437" s="122"/>
      <c r="L437" s="122"/>
      <c r="M437" s="122"/>
      <c r="N437" s="122"/>
      <c r="O437" s="122"/>
      <c r="P437" s="778"/>
      <c r="Q437" s="778"/>
      <c r="R437" s="778"/>
      <c r="S437" s="778"/>
      <c r="T437" s="155"/>
      <c r="U437" s="155"/>
      <c r="V437" s="155"/>
    </row>
    <row r="438" spans="2:22" s="93" customFormat="1" ht="17.100000000000001" customHeight="1" x14ac:dyDescent="0.2">
      <c r="B438" s="188"/>
      <c r="C438" s="188"/>
      <c r="D438" s="188"/>
      <c r="E438" s="188"/>
      <c r="F438" s="188"/>
      <c r="G438" s="188"/>
      <c r="H438" s="188"/>
      <c r="I438" s="155"/>
      <c r="J438" s="122"/>
      <c r="K438" s="122"/>
      <c r="L438" s="122"/>
      <c r="M438" s="122"/>
      <c r="N438" s="122"/>
      <c r="O438" s="122"/>
      <c r="P438" s="778"/>
      <c r="Q438" s="778"/>
      <c r="R438" s="778"/>
      <c r="S438" s="778"/>
      <c r="T438" s="155"/>
      <c r="U438" s="155"/>
      <c r="V438" s="155"/>
    </row>
    <row r="439" spans="2:22" s="93" customFormat="1" ht="17.100000000000001" customHeight="1" x14ac:dyDescent="0.2">
      <c r="B439" s="188"/>
      <c r="C439" s="188"/>
      <c r="D439" s="188"/>
      <c r="E439" s="188"/>
      <c r="F439" s="188"/>
      <c r="G439" s="188"/>
      <c r="H439" s="188"/>
      <c r="I439" s="155"/>
      <c r="J439" s="122"/>
      <c r="K439" s="122"/>
      <c r="L439" s="122"/>
      <c r="M439" s="122"/>
      <c r="N439" s="122"/>
      <c r="O439" s="122"/>
      <c r="P439" s="778"/>
      <c r="Q439" s="778"/>
      <c r="R439" s="778"/>
      <c r="S439" s="778"/>
      <c r="T439" s="155"/>
      <c r="U439" s="155"/>
      <c r="V439" s="155"/>
    </row>
    <row r="440" spans="2:22" s="93" customFormat="1" ht="17.100000000000001" customHeight="1" x14ac:dyDescent="0.2">
      <c r="B440" s="188"/>
      <c r="C440" s="188"/>
      <c r="D440" s="188"/>
      <c r="E440" s="188"/>
      <c r="F440" s="188"/>
      <c r="G440" s="188"/>
      <c r="H440" s="188"/>
      <c r="I440" s="155"/>
      <c r="J440" s="122"/>
      <c r="K440" s="122"/>
      <c r="L440" s="122"/>
      <c r="M440" s="122"/>
      <c r="N440" s="122"/>
      <c r="O440" s="122"/>
      <c r="P440" s="778"/>
      <c r="Q440" s="778"/>
      <c r="R440" s="778"/>
      <c r="S440" s="778"/>
      <c r="T440" s="155"/>
      <c r="U440" s="155"/>
      <c r="V440" s="155"/>
    </row>
    <row r="441" spans="2:22" s="93" customFormat="1" ht="17.100000000000001" customHeight="1" x14ac:dyDescent="0.2">
      <c r="B441" s="188"/>
      <c r="C441" s="188"/>
      <c r="D441" s="188"/>
      <c r="E441" s="188"/>
      <c r="F441" s="188"/>
      <c r="G441" s="188"/>
      <c r="H441" s="188"/>
      <c r="I441" s="155"/>
      <c r="J441" s="122"/>
      <c r="K441" s="122"/>
      <c r="L441" s="122"/>
      <c r="M441" s="122"/>
      <c r="N441" s="122"/>
      <c r="O441" s="122"/>
      <c r="P441" s="778"/>
      <c r="Q441" s="778"/>
      <c r="R441" s="778"/>
      <c r="S441" s="778"/>
      <c r="T441" s="155"/>
      <c r="U441" s="155"/>
      <c r="V441" s="155"/>
    </row>
    <row r="442" spans="2:22" s="93" customFormat="1" ht="17.100000000000001" customHeight="1" x14ac:dyDescent="0.2">
      <c r="B442" s="188"/>
      <c r="C442" s="188"/>
      <c r="D442" s="188"/>
      <c r="E442" s="188"/>
      <c r="F442" s="188"/>
      <c r="G442" s="188"/>
      <c r="H442" s="188"/>
      <c r="I442" s="155"/>
      <c r="J442" s="122"/>
      <c r="K442" s="122"/>
      <c r="L442" s="122"/>
      <c r="M442" s="122"/>
      <c r="N442" s="122"/>
      <c r="O442" s="122"/>
      <c r="P442" s="778"/>
      <c r="Q442" s="778"/>
      <c r="R442" s="778"/>
      <c r="S442" s="778"/>
      <c r="T442" s="155"/>
      <c r="U442" s="155"/>
      <c r="V442" s="155"/>
    </row>
    <row r="443" spans="2:22" s="93" customFormat="1" ht="17.100000000000001" customHeight="1" x14ac:dyDescent="0.2">
      <c r="B443" s="188"/>
      <c r="C443" s="188"/>
      <c r="D443" s="188"/>
      <c r="E443" s="188"/>
      <c r="F443" s="188"/>
      <c r="G443" s="188"/>
      <c r="H443" s="188"/>
      <c r="I443" s="155"/>
      <c r="J443" s="122"/>
      <c r="K443" s="122"/>
      <c r="L443" s="122"/>
      <c r="M443" s="122"/>
      <c r="N443" s="122"/>
      <c r="O443" s="122"/>
      <c r="P443" s="778"/>
      <c r="Q443" s="778"/>
      <c r="R443" s="778"/>
      <c r="S443" s="778"/>
      <c r="T443" s="155"/>
      <c r="U443" s="155"/>
      <c r="V443" s="155"/>
    </row>
    <row r="444" spans="2:22" s="93" customFormat="1" ht="17.100000000000001" customHeight="1" x14ac:dyDescent="0.2">
      <c r="B444" s="188"/>
      <c r="C444" s="188"/>
      <c r="D444" s="188"/>
      <c r="E444" s="188"/>
      <c r="F444" s="188"/>
      <c r="G444" s="188"/>
      <c r="H444" s="188"/>
      <c r="I444" s="155"/>
      <c r="J444" s="122"/>
      <c r="K444" s="122"/>
      <c r="L444" s="122"/>
      <c r="M444" s="122"/>
      <c r="N444" s="122"/>
      <c r="O444" s="122"/>
      <c r="P444" s="778"/>
      <c r="Q444" s="778"/>
      <c r="R444" s="778"/>
      <c r="S444" s="778"/>
      <c r="T444" s="155"/>
      <c r="U444" s="155"/>
      <c r="V444" s="155"/>
    </row>
    <row r="445" spans="2:22" s="93" customFormat="1" ht="17.100000000000001" customHeight="1" x14ac:dyDescent="0.2">
      <c r="B445" s="188"/>
      <c r="C445" s="188"/>
      <c r="D445" s="188"/>
      <c r="E445" s="188"/>
      <c r="F445" s="188"/>
      <c r="G445" s="188"/>
      <c r="H445" s="188"/>
      <c r="I445" s="155"/>
      <c r="J445" s="122"/>
      <c r="K445" s="122"/>
      <c r="L445" s="122"/>
      <c r="M445" s="122"/>
      <c r="N445" s="122"/>
      <c r="O445" s="122"/>
      <c r="P445" s="778"/>
      <c r="Q445" s="778"/>
      <c r="R445" s="778"/>
      <c r="S445" s="778"/>
      <c r="T445" s="155"/>
      <c r="U445" s="155"/>
      <c r="V445" s="155"/>
    </row>
    <row r="446" spans="2:22" s="93" customFormat="1" ht="17.100000000000001" customHeight="1" x14ac:dyDescent="0.2">
      <c r="B446" s="188"/>
      <c r="C446" s="188"/>
      <c r="D446" s="188"/>
      <c r="E446" s="188"/>
      <c r="F446" s="188"/>
      <c r="G446" s="188"/>
      <c r="H446" s="188"/>
      <c r="I446" s="155"/>
      <c r="J446" s="122"/>
      <c r="K446" s="122"/>
      <c r="L446" s="122"/>
      <c r="M446" s="122"/>
      <c r="N446" s="122"/>
      <c r="O446" s="122"/>
      <c r="P446" s="778"/>
      <c r="Q446" s="778"/>
      <c r="R446" s="778"/>
      <c r="S446" s="778"/>
      <c r="T446" s="155"/>
      <c r="U446" s="155"/>
      <c r="V446" s="155"/>
    </row>
    <row r="447" spans="2:22" s="93" customFormat="1" ht="17.100000000000001" customHeight="1" x14ac:dyDescent="0.2">
      <c r="B447" s="188"/>
      <c r="C447" s="188"/>
      <c r="D447" s="188"/>
      <c r="E447" s="188"/>
      <c r="F447" s="188"/>
      <c r="G447" s="188"/>
      <c r="H447" s="188"/>
      <c r="I447" s="155"/>
      <c r="J447" s="122"/>
      <c r="K447" s="122"/>
      <c r="L447" s="122"/>
      <c r="M447" s="122"/>
      <c r="N447" s="122"/>
      <c r="O447" s="122"/>
      <c r="P447" s="778"/>
      <c r="Q447" s="778"/>
      <c r="R447" s="778"/>
      <c r="S447" s="778"/>
      <c r="T447" s="155"/>
      <c r="U447" s="155"/>
      <c r="V447" s="155"/>
    </row>
    <row r="448" spans="2:22" s="93" customFormat="1" ht="17.100000000000001" customHeight="1" x14ac:dyDescent="0.2">
      <c r="B448" s="188"/>
      <c r="C448" s="188"/>
      <c r="D448" s="188"/>
      <c r="E448" s="188"/>
      <c r="F448" s="188"/>
      <c r="G448" s="188"/>
      <c r="H448" s="188"/>
      <c r="I448" s="155"/>
      <c r="J448" s="122"/>
      <c r="K448" s="122"/>
      <c r="L448" s="122"/>
      <c r="M448" s="122"/>
      <c r="N448" s="122"/>
      <c r="O448" s="122"/>
      <c r="P448" s="778"/>
      <c r="Q448" s="778"/>
      <c r="R448" s="778"/>
      <c r="S448" s="778"/>
      <c r="T448" s="155"/>
      <c r="U448" s="155"/>
      <c r="V448" s="155"/>
    </row>
    <row r="449" spans="1:22" s="93" customFormat="1" ht="17.100000000000001" customHeight="1" x14ac:dyDescent="0.2">
      <c r="B449" s="188"/>
      <c r="C449" s="188"/>
      <c r="D449" s="188"/>
      <c r="E449" s="188"/>
      <c r="F449" s="188"/>
      <c r="G449" s="188"/>
      <c r="H449" s="188"/>
      <c r="I449" s="155"/>
      <c r="J449" s="122"/>
      <c r="K449" s="122"/>
      <c r="L449" s="122"/>
      <c r="M449" s="122"/>
      <c r="N449" s="122"/>
      <c r="O449" s="122"/>
      <c r="P449" s="778"/>
      <c r="Q449" s="778"/>
      <c r="R449" s="778"/>
      <c r="S449" s="778"/>
      <c r="T449" s="155"/>
      <c r="U449" s="155"/>
      <c r="V449" s="155"/>
    </row>
    <row r="450" spans="1:22" s="93" customFormat="1" ht="17.100000000000001" customHeight="1" x14ac:dyDescent="0.2">
      <c r="A450" s="188"/>
      <c r="B450" s="188"/>
      <c r="C450" s="188"/>
      <c r="D450" s="188"/>
      <c r="E450" s="188"/>
      <c r="F450" s="188"/>
      <c r="G450" s="188"/>
      <c r="H450" s="188"/>
      <c r="I450" s="160"/>
      <c r="J450" s="135"/>
      <c r="K450" s="135"/>
      <c r="L450" s="135"/>
      <c r="M450" s="135"/>
      <c r="N450" s="122"/>
      <c r="O450" s="122"/>
      <c r="P450" s="778"/>
      <c r="Q450" s="778"/>
      <c r="R450" s="778"/>
      <c r="S450" s="778"/>
      <c r="T450" s="155"/>
      <c r="U450" s="155"/>
      <c r="V450" s="155"/>
    </row>
    <row r="451" spans="1:22" s="93" customFormat="1" ht="17.100000000000001" customHeight="1" x14ac:dyDescent="0.2">
      <c r="A451" s="188"/>
      <c r="B451" s="188"/>
      <c r="C451" s="188"/>
      <c r="D451" s="188"/>
      <c r="E451" s="188"/>
      <c r="F451" s="188"/>
      <c r="G451" s="188"/>
      <c r="H451" s="188"/>
      <c r="I451" s="160"/>
      <c r="J451" s="135"/>
      <c r="K451" s="135"/>
      <c r="L451" s="135"/>
      <c r="M451" s="135"/>
      <c r="N451" s="122"/>
      <c r="O451" s="122"/>
      <c r="P451" s="778"/>
      <c r="Q451" s="778"/>
      <c r="R451" s="778"/>
      <c r="S451" s="778"/>
      <c r="T451" s="155"/>
      <c r="U451" s="155"/>
      <c r="V451" s="155"/>
    </row>
    <row r="452" spans="1:22" s="93" customFormat="1" ht="17.100000000000001" customHeight="1" x14ac:dyDescent="0.2">
      <c r="A452" s="188"/>
      <c r="B452" s="188"/>
      <c r="C452" s="188"/>
      <c r="D452" s="188"/>
      <c r="E452" s="188"/>
      <c r="F452" s="188"/>
      <c r="G452" s="188"/>
      <c r="H452" s="188"/>
      <c r="I452" s="160"/>
      <c r="J452" s="135"/>
      <c r="K452" s="135"/>
      <c r="L452" s="135"/>
      <c r="M452" s="135"/>
      <c r="N452" s="122"/>
      <c r="O452" s="122"/>
      <c r="P452" s="778"/>
      <c r="Q452" s="778"/>
      <c r="R452" s="778"/>
      <c r="S452" s="778"/>
      <c r="T452" s="155"/>
      <c r="U452" s="155"/>
      <c r="V452" s="155"/>
    </row>
    <row r="453" spans="1:22" s="93" customFormat="1" ht="17.100000000000001" customHeight="1" x14ac:dyDescent="0.2">
      <c r="A453" s="188"/>
      <c r="B453" s="188"/>
      <c r="C453" s="188"/>
      <c r="D453" s="188"/>
      <c r="E453" s="188"/>
      <c r="F453" s="188"/>
      <c r="G453" s="188"/>
      <c r="H453" s="188"/>
      <c r="I453" s="160"/>
      <c r="J453" s="135"/>
      <c r="K453" s="135"/>
      <c r="L453" s="135"/>
      <c r="M453" s="135"/>
      <c r="N453" s="122"/>
      <c r="O453" s="122"/>
      <c r="P453" s="778"/>
      <c r="Q453" s="778"/>
      <c r="R453" s="778"/>
      <c r="S453" s="778"/>
      <c r="T453" s="155"/>
      <c r="U453" s="155"/>
      <c r="V453" s="155"/>
    </row>
    <row r="454" spans="1:22" s="93" customFormat="1" ht="17.100000000000001" customHeight="1" x14ac:dyDescent="0.2">
      <c r="A454" s="188"/>
      <c r="B454" s="188"/>
      <c r="C454" s="188"/>
      <c r="D454" s="188"/>
      <c r="E454" s="188"/>
      <c r="F454" s="188"/>
      <c r="G454" s="188"/>
      <c r="H454" s="188"/>
      <c r="I454" s="160"/>
      <c r="J454" s="135"/>
      <c r="K454" s="135"/>
      <c r="L454" s="135"/>
      <c r="M454" s="135"/>
      <c r="N454" s="135"/>
      <c r="O454" s="122"/>
      <c r="P454" s="778"/>
      <c r="Q454" s="778"/>
      <c r="R454" s="778"/>
      <c r="S454" s="778"/>
      <c r="T454" s="155"/>
      <c r="U454" s="155"/>
      <c r="V454" s="155"/>
    </row>
    <row r="455" spans="1:22" s="93" customFormat="1" ht="17.100000000000001" customHeight="1" x14ac:dyDescent="0.2">
      <c r="A455" s="188"/>
      <c r="B455" s="188"/>
      <c r="C455" s="188"/>
      <c r="D455" s="188"/>
      <c r="E455" s="188"/>
      <c r="F455" s="188"/>
      <c r="G455" s="188"/>
      <c r="H455" s="188"/>
      <c r="I455" s="160"/>
      <c r="J455" s="135"/>
      <c r="K455" s="135"/>
      <c r="L455" s="135"/>
      <c r="M455" s="135"/>
      <c r="N455" s="122"/>
      <c r="O455" s="122"/>
      <c r="P455" s="778"/>
      <c r="Q455" s="778"/>
      <c r="R455" s="778"/>
      <c r="S455" s="778"/>
      <c r="T455" s="155"/>
      <c r="U455" s="155"/>
      <c r="V455" s="155"/>
    </row>
    <row r="456" spans="1:22" s="93" customFormat="1" ht="17.100000000000001" customHeight="1" x14ac:dyDescent="0.2">
      <c r="A456" s="188"/>
      <c r="B456" s="188"/>
      <c r="C456" s="188"/>
      <c r="D456" s="188"/>
      <c r="E456" s="188"/>
      <c r="F456" s="188"/>
      <c r="G456" s="188"/>
      <c r="H456" s="188"/>
      <c r="I456" s="160"/>
      <c r="J456" s="135"/>
      <c r="K456" s="135"/>
      <c r="L456" s="135"/>
      <c r="M456" s="135"/>
      <c r="N456" s="122"/>
      <c r="O456" s="122"/>
      <c r="P456" s="778"/>
      <c r="Q456" s="778"/>
      <c r="R456" s="778"/>
      <c r="S456" s="778"/>
      <c r="T456" s="155"/>
      <c r="U456" s="155"/>
      <c r="V456" s="155"/>
    </row>
    <row r="457" spans="1:22" s="93" customFormat="1" ht="17.100000000000001" customHeight="1" x14ac:dyDescent="0.2">
      <c r="A457" s="188"/>
      <c r="B457" s="188"/>
      <c r="C457" s="188"/>
      <c r="D457" s="188"/>
      <c r="E457" s="188"/>
      <c r="F457" s="188"/>
      <c r="G457" s="188"/>
      <c r="H457" s="188"/>
      <c r="I457" s="160"/>
      <c r="J457" s="135"/>
      <c r="K457" s="135"/>
      <c r="L457" s="135"/>
      <c r="M457" s="135"/>
      <c r="N457" s="122"/>
      <c r="O457" s="122"/>
      <c r="P457" s="778"/>
      <c r="Q457" s="778"/>
      <c r="R457" s="778"/>
      <c r="S457" s="778"/>
      <c r="T457" s="155"/>
      <c r="U457" s="155"/>
      <c r="V457" s="155"/>
    </row>
    <row r="458" spans="1:22" s="93" customFormat="1" ht="17.100000000000001" customHeight="1" x14ac:dyDescent="0.2">
      <c r="A458" s="188"/>
      <c r="B458" s="188"/>
      <c r="C458" s="188"/>
      <c r="D458" s="188"/>
      <c r="E458" s="188"/>
      <c r="F458" s="188"/>
      <c r="G458" s="188"/>
      <c r="H458" s="188"/>
      <c r="I458" s="160"/>
      <c r="J458" s="135"/>
      <c r="K458" s="135"/>
      <c r="L458" s="135"/>
      <c r="M458" s="135"/>
      <c r="N458" s="122"/>
      <c r="O458" s="122"/>
      <c r="P458" s="778"/>
      <c r="Q458" s="778"/>
      <c r="R458" s="778"/>
      <c r="S458" s="778"/>
      <c r="T458" s="155"/>
      <c r="U458" s="155"/>
      <c r="V458" s="155"/>
    </row>
    <row r="459" spans="1:22" s="93" customFormat="1" ht="17.100000000000001" customHeight="1" x14ac:dyDescent="0.2">
      <c r="A459" s="188"/>
      <c r="B459" s="188"/>
      <c r="C459" s="188"/>
      <c r="D459" s="188"/>
      <c r="E459" s="188"/>
      <c r="F459" s="188"/>
      <c r="G459" s="188"/>
      <c r="H459" s="188"/>
      <c r="I459" s="160"/>
      <c r="J459" s="135"/>
      <c r="K459" s="135"/>
      <c r="L459" s="135"/>
      <c r="M459" s="135"/>
      <c r="N459" s="122"/>
      <c r="O459" s="122"/>
      <c r="P459" s="778"/>
      <c r="Q459" s="778"/>
      <c r="R459" s="778"/>
      <c r="S459" s="778"/>
      <c r="T459" s="155"/>
      <c r="U459" s="155"/>
      <c r="V459" s="155"/>
    </row>
    <row r="460" spans="1:22" s="93" customFormat="1" ht="17.100000000000001" customHeight="1" x14ac:dyDescent="0.2">
      <c r="A460" s="188"/>
      <c r="B460" s="188"/>
      <c r="C460" s="188"/>
      <c r="D460" s="188"/>
      <c r="E460" s="188"/>
      <c r="F460" s="188"/>
      <c r="G460" s="188"/>
      <c r="H460" s="188"/>
      <c r="I460" s="160"/>
      <c r="J460" s="135"/>
      <c r="K460" s="135"/>
      <c r="L460" s="135"/>
      <c r="M460" s="135"/>
      <c r="N460" s="122"/>
      <c r="O460" s="122"/>
      <c r="P460" s="778"/>
      <c r="Q460" s="778"/>
      <c r="R460" s="778"/>
      <c r="S460" s="778"/>
      <c r="T460" s="155"/>
      <c r="U460" s="155"/>
      <c r="V460" s="155"/>
    </row>
    <row r="461" spans="1:22" ht="17.100000000000001" customHeight="1" x14ac:dyDescent="0.2">
      <c r="A461" s="24"/>
      <c r="B461" s="24"/>
      <c r="C461" s="24"/>
      <c r="D461" s="24"/>
      <c r="E461" s="24"/>
      <c r="F461" s="24"/>
      <c r="G461" s="24"/>
      <c r="H461" s="24"/>
      <c r="I461" s="129"/>
      <c r="J461" s="135"/>
      <c r="K461" s="135"/>
      <c r="L461" s="135"/>
      <c r="M461" s="135"/>
    </row>
    <row r="462" spans="1:22" ht="17.100000000000001" customHeight="1" x14ac:dyDescent="0.2">
      <c r="A462" s="24"/>
      <c r="B462" s="24"/>
      <c r="C462" s="24"/>
      <c r="D462" s="24"/>
      <c r="E462" s="24"/>
      <c r="F462" s="24"/>
      <c r="G462" s="24"/>
      <c r="H462" s="24"/>
      <c r="I462" s="129"/>
      <c r="J462" s="135"/>
      <c r="K462" s="135"/>
      <c r="L462" s="135"/>
      <c r="M462" s="135"/>
    </row>
  </sheetData>
  <sheetProtection algorithmName="SHA-512" hashValue="V28+T2r97Aki+FA4xWi9iZQ/6/5+KJeLY7+QsRNHOAwRRutGW6v69vxHTiXrhWHGDZJfdbxbuVaCTv11lhvSdw==" saltValue="Cic2PpO6k08Z3YB16+NJNw==" spinCount="100000" sheet="1" objects="1" scenarios="1" selectLockedCells="1"/>
  <dataConsolidate link="1"/>
  <customSheetViews>
    <customSheetView guid="{FE27F3BB-8686-48A9-9FE6-C2348F62E79E}" showGridLines="0" hiddenRows="1" hiddenColumns="1" topLeftCell="A37">
      <selection activeCell="G53" sqref="G53:H53"/>
      <rowBreaks count="3" manualBreakCount="3">
        <brk id="78" max="7" man="1"/>
        <brk id="208" max="7" man="1"/>
        <brk id="272" max="7" man="1"/>
      </rowBreaks>
      <pageMargins left="0.70866141732283472" right="0.70866141732283472" top="0.74803149606299213" bottom="0.74803149606299213" header="0.31496062992125984" footer="0.31496062992125984"/>
      <printOptions horizontalCentered="1"/>
      <pageSetup paperSize="9" scale="73" fitToHeight="4" orientation="portrait" r:id="rId1"/>
      <headerFooter alignWithMargins="0">
        <oddFooter>&amp;R&amp;6Seite &amp;P von &amp;N</oddFooter>
      </headerFooter>
    </customSheetView>
  </customSheetViews>
  <mergeCells count="132">
    <mergeCell ref="A211:H211"/>
    <mergeCell ref="B210:H210"/>
    <mergeCell ref="B201:H201"/>
    <mergeCell ref="B200:D200"/>
    <mergeCell ref="A193:H193"/>
    <mergeCell ref="A191:H191"/>
    <mergeCell ref="B190:H190"/>
    <mergeCell ref="C12:G12"/>
    <mergeCell ref="B14:H14"/>
    <mergeCell ref="A15:H15"/>
    <mergeCell ref="A17:H17"/>
    <mergeCell ref="F19:H19"/>
    <mergeCell ref="G64:H64"/>
    <mergeCell ref="F65:H65"/>
    <mergeCell ref="A1:H1"/>
    <mergeCell ref="A10:B10"/>
    <mergeCell ref="C10:G10"/>
    <mergeCell ref="A11:B11"/>
    <mergeCell ref="C11:G11"/>
    <mergeCell ref="B39:H39"/>
    <mergeCell ref="G55:H55"/>
    <mergeCell ref="C59:D59"/>
    <mergeCell ref="G20:H20"/>
    <mergeCell ref="B21:H21"/>
    <mergeCell ref="F26:H26"/>
    <mergeCell ref="B28:E28"/>
    <mergeCell ref="F28:H28"/>
    <mergeCell ref="C7:E7"/>
    <mergeCell ref="A9:G9"/>
    <mergeCell ref="B35:C35"/>
    <mergeCell ref="B22:E22"/>
    <mergeCell ref="F22:H22"/>
    <mergeCell ref="B18:E18"/>
    <mergeCell ref="F18:H18"/>
    <mergeCell ref="B213:H213"/>
    <mergeCell ref="A214:H214"/>
    <mergeCell ref="B215:H215"/>
    <mergeCell ref="D220:F220"/>
    <mergeCell ref="C222:D222"/>
    <mergeCell ref="E222:F222"/>
    <mergeCell ref="D245:F245"/>
    <mergeCell ref="D247:E247"/>
    <mergeCell ref="F247:H247"/>
    <mergeCell ref="B250:H250"/>
    <mergeCell ref="B251:H251"/>
    <mergeCell ref="G256:H256"/>
    <mergeCell ref="B225:D225"/>
    <mergeCell ref="B228:H228"/>
    <mergeCell ref="G234:H234"/>
    <mergeCell ref="G235:H235"/>
    <mergeCell ref="E239:H239"/>
    <mergeCell ref="B241:H241"/>
    <mergeCell ref="B269:H269"/>
    <mergeCell ref="B270:H270"/>
    <mergeCell ref="B272:D272"/>
    <mergeCell ref="G274:H274"/>
    <mergeCell ref="B277:H277"/>
    <mergeCell ref="B261:H261"/>
    <mergeCell ref="B262:H262"/>
    <mergeCell ref="B263:H263"/>
    <mergeCell ref="B264:D264"/>
    <mergeCell ref="C286:H286"/>
    <mergeCell ref="B288:H288"/>
    <mergeCell ref="B296:H296"/>
    <mergeCell ref="B297:H297"/>
    <mergeCell ref="F298:H298"/>
    <mergeCell ref="F299:H299"/>
    <mergeCell ref="B278:H278"/>
    <mergeCell ref="C280:D280"/>
    <mergeCell ref="F280:H280"/>
    <mergeCell ref="B282:D282"/>
    <mergeCell ref="G282:H282"/>
    <mergeCell ref="G285:H285"/>
    <mergeCell ref="E320:H320"/>
    <mergeCell ref="E321:H321"/>
    <mergeCell ref="E322:H322"/>
    <mergeCell ref="G323:H323"/>
    <mergeCell ref="B325:H325"/>
    <mergeCell ref="E327:H327"/>
    <mergeCell ref="F300:H300"/>
    <mergeCell ref="F301:H301"/>
    <mergeCell ref="B302:H302"/>
    <mergeCell ref="F314:H314"/>
    <mergeCell ref="B317:H317"/>
    <mergeCell ref="E319:H319"/>
    <mergeCell ref="E334:H334"/>
    <mergeCell ref="E335:F335"/>
    <mergeCell ref="G336:H336"/>
    <mergeCell ref="E337:H337"/>
    <mergeCell ref="G340:G342"/>
    <mergeCell ref="H340:H342"/>
    <mergeCell ref="E328:H328"/>
    <mergeCell ref="E329:H329"/>
    <mergeCell ref="E330:H330"/>
    <mergeCell ref="E331:H331"/>
    <mergeCell ref="E332:H332"/>
    <mergeCell ref="E333:H333"/>
    <mergeCell ref="B352:F352"/>
    <mergeCell ref="B353:F353"/>
    <mergeCell ref="B355:F355"/>
    <mergeCell ref="B356:F356"/>
    <mergeCell ref="B357:F357"/>
    <mergeCell ref="F365:H365"/>
    <mergeCell ref="G343:H343"/>
    <mergeCell ref="B344:F344"/>
    <mergeCell ref="B347:F347"/>
    <mergeCell ref="B349:F349"/>
    <mergeCell ref="B350:F350"/>
    <mergeCell ref="B351:F351"/>
    <mergeCell ref="F387:H387"/>
    <mergeCell ref="B390:H390"/>
    <mergeCell ref="F392:H392"/>
    <mergeCell ref="B393:D393"/>
    <mergeCell ref="F393:H393"/>
    <mergeCell ref="B394:D394"/>
    <mergeCell ref="F394:H394"/>
    <mergeCell ref="B366:H366"/>
    <mergeCell ref="B368:H368"/>
    <mergeCell ref="B370:H370"/>
    <mergeCell ref="B382:H382"/>
    <mergeCell ref="F385:H385"/>
    <mergeCell ref="F386:H386"/>
    <mergeCell ref="B400:H400"/>
    <mergeCell ref="B401:H401"/>
    <mergeCell ref="B402:H402"/>
    <mergeCell ref="B403:H403"/>
    <mergeCell ref="F396:H396"/>
    <mergeCell ref="B397:D397"/>
    <mergeCell ref="F397:H397"/>
    <mergeCell ref="B398:D398"/>
    <mergeCell ref="F398:H398"/>
    <mergeCell ref="B399:H399"/>
  </mergeCells>
  <conditionalFormatting sqref="H8">
    <cfRule type="cellIs" dxfId="0" priority="1" stopIfTrue="1" operator="equal">
      <formula>"hier Gemeinde eingeben"</formula>
    </cfRule>
  </conditionalFormatting>
  <hyperlinks>
    <hyperlink ref="H283" r:id="rId2" display="http://www.umweltbundesamt.at/fileadmin/site/umweltthemen/laerm/forum_schall/downloads/Informationsblatt_Luftwaermepumpen_2013.pdf"/>
  </hyperlinks>
  <printOptions horizontalCentered="1"/>
  <pageMargins left="0.70866141732283472" right="0.70866141732283472" top="0.74803149606299213" bottom="0.74803149606299213" header="0.31496062992125984" footer="0.31496062992125984"/>
  <pageSetup paperSize="9" scale="67" fitToHeight="4" orientation="portrait" r:id="rId3"/>
  <headerFooter alignWithMargins="0">
    <oddFooter>&amp;L&amp;D&amp;RSeite &amp;P von &amp;N</oddFooter>
  </headerFooter>
  <rowBreaks count="3" manualBreakCount="3">
    <brk id="82" max="7" man="1"/>
    <brk id="212" max="7" man="1"/>
    <brk id="276" max="7" man="1"/>
  </rowBreaks>
  <ignoredErrors>
    <ignoredError sqref="Q225 R239 R246 P252 S252 L266:L268 Q281:Q282 K291:M294 O294 L33 L35 N35 L44" unlockedFormula="1"/>
    <ignoredError sqref="A288" numberStoredAsText="1"/>
    <ignoredError sqref="M79" 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locked="0" defaultSize="0" autoFill="0" autoLine="0" autoPict="0">
                <anchor moveWithCells="1" sizeWithCells="1">
                  <from>
                    <xdr:col>1</xdr:col>
                    <xdr:colOff>66675</xdr:colOff>
                    <xdr:row>48</xdr:row>
                    <xdr:rowOff>66675</xdr:rowOff>
                  </from>
                  <to>
                    <xdr:col>2</xdr:col>
                    <xdr:colOff>76200</xdr:colOff>
                    <xdr:row>50</xdr:row>
                    <xdr:rowOff>9525</xdr:rowOff>
                  </to>
                </anchor>
              </controlPr>
            </control>
          </mc:Choice>
        </mc:AlternateContent>
        <mc:AlternateContent xmlns:mc="http://schemas.openxmlformats.org/markup-compatibility/2006">
          <mc:Choice Requires="x14">
            <control shapeId="7170" r:id="rId7" name="Check Box 2">
              <controlPr locked="0" defaultSize="0" autoFill="0" autoLine="0" autoPict="0">
                <anchor moveWithCells="1" sizeWithCells="1">
                  <from>
                    <xdr:col>1</xdr:col>
                    <xdr:colOff>66675</xdr:colOff>
                    <xdr:row>45</xdr:row>
                    <xdr:rowOff>57150</xdr:rowOff>
                  </from>
                  <to>
                    <xdr:col>2</xdr:col>
                    <xdr:colOff>76200</xdr:colOff>
                    <xdr:row>47</xdr:row>
                    <xdr:rowOff>9525</xdr:rowOff>
                  </to>
                </anchor>
              </controlPr>
            </control>
          </mc:Choice>
        </mc:AlternateContent>
        <mc:AlternateContent xmlns:mc="http://schemas.openxmlformats.org/markup-compatibility/2006">
          <mc:Choice Requires="x14">
            <control shapeId="7171" r:id="rId8" name="Check Box 3">
              <controlPr locked="0" defaultSize="0" autoFill="0" autoLine="0" autoPict="0">
                <anchor moveWithCells="1" sizeWithCells="1">
                  <from>
                    <xdr:col>1</xdr:col>
                    <xdr:colOff>66675</xdr:colOff>
                    <xdr:row>39</xdr:row>
                    <xdr:rowOff>28575</xdr:rowOff>
                  </from>
                  <to>
                    <xdr:col>2</xdr:col>
                    <xdr:colOff>76200</xdr:colOff>
                    <xdr:row>40</xdr:row>
                    <xdr:rowOff>28575</xdr:rowOff>
                  </to>
                </anchor>
              </controlPr>
            </control>
          </mc:Choice>
        </mc:AlternateContent>
        <mc:AlternateContent xmlns:mc="http://schemas.openxmlformats.org/markup-compatibility/2006">
          <mc:Choice Requires="x14">
            <control shapeId="7172" r:id="rId9" name="Drop Down 4">
              <controlPr locked="0" defaultSize="0" autoLine="0" autoPict="0">
                <anchor moveWithCells="1">
                  <from>
                    <xdr:col>6</xdr:col>
                    <xdr:colOff>371475</xdr:colOff>
                    <xdr:row>215</xdr:row>
                    <xdr:rowOff>9525</xdr:rowOff>
                  </from>
                  <to>
                    <xdr:col>7</xdr:col>
                    <xdr:colOff>514350</xdr:colOff>
                    <xdr:row>299</xdr:row>
                    <xdr:rowOff>9525</xdr:rowOff>
                  </to>
                </anchor>
              </controlPr>
            </control>
          </mc:Choice>
        </mc:AlternateContent>
        <mc:AlternateContent xmlns:mc="http://schemas.openxmlformats.org/markup-compatibility/2006">
          <mc:Choice Requires="x14">
            <control shapeId="7173" r:id="rId10" name="Drop Down 5">
              <controlPr locked="0" defaultSize="0" autoLine="0" autoPict="0">
                <anchor moveWithCells="1">
                  <from>
                    <xdr:col>6</xdr:col>
                    <xdr:colOff>371475</xdr:colOff>
                    <xdr:row>218</xdr:row>
                    <xdr:rowOff>0</xdr:rowOff>
                  </from>
                  <to>
                    <xdr:col>7</xdr:col>
                    <xdr:colOff>514350</xdr:colOff>
                    <xdr:row>298</xdr:row>
                    <xdr:rowOff>200025</xdr:rowOff>
                  </to>
                </anchor>
              </controlPr>
            </control>
          </mc:Choice>
        </mc:AlternateContent>
        <mc:AlternateContent xmlns:mc="http://schemas.openxmlformats.org/markup-compatibility/2006">
          <mc:Choice Requires="x14">
            <control shapeId="7174" r:id="rId11" name="Drop Down 6">
              <controlPr locked="0" defaultSize="0" autoLine="0" autoPict="0">
                <anchor moveWithCells="1">
                  <from>
                    <xdr:col>6</xdr:col>
                    <xdr:colOff>371475</xdr:colOff>
                    <xdr:row>219</xdr:row>
                    <xdr:rowOff>200025</xdr:rowOff>
                  </from>
                  <to>
                    <xdr:col>7</xdr:col>
                    <xdr:colOff>504825</xdr:colOff>
                    <xdr:row>298</xdr:row>
                    <xdr:rowOff>200025</xdr:rowOff>
                  </to>
                </anchor>
              </controlPr>
            </control>
          </mc:Choice>
        </mc:AlternateContent>
        <mc:AlternateContent xmlns:mc="http://schemas.openxmlformats.org/markup-compatibility/2006">
          <mc:Choice Requires="x14">
            <control shapeId="7175" r:id="rId12" name="Drop Down 7">
              <controlPr locked="0" defaultSize="0" autoLine="0" autoPict="0">
                <anchor moveWithCells="1">
                  <from>
                    <xdr:col>6</xdr:col>
                    <xdr:colOff>361950</xdr:colOff>
                    <xdr:row>221</xdr:row>
                    <xdr:rowOff>200025</xdr:rowOff>
                  </from>
                  <to>
                    <xdr:col>7</xdr:col>
                    <xdr:colOff>504825</xdr:colOff>
                    <xdr:row>298</xdr:row>
                    <xdr:rowOff>200025</xdr:rowOff>
                  </to>
                </anchor>
              </controlPr>
            </control>
          </mc:Choice>
        </mc:AlternateContent>
        <mc:AlternateContent xmlns:mc="http://schemas.openxmlformats.org/markup-compatibility/2006">
          <mc:Choice Requires="x14">
            <control shapeId="7176" r:id="rId13" name="Check Box 8">
              <controlPr locked="0" defaultSize="0" autoFill="0" autoLine="0" autoPict="0">
                <anchor moveWithCells="1" sizeWithCells="1">
                  <from>
                    <xdr:col>5</xdr:col>
                    <xdr:colOff>257175</xdr:colOff>
                    <xdr:row>18</xdr:row>
                    <xdr:rowOff>200025</xdr:rowOff>
                  </from>
                  <to>
                    <xdr:col>5</xdr:col>
                    <xdr:colOff>561975</xdr:colOff>
                    <xdr:row>19</xdr:row>
                    <xdr:rowOff>200025</xdr:rowOff>
                  </to>
                </anchor>
              </controlPr>
            </control>
          </mc:Choice>
        </mc:AlternateContent>
        <mc:AlternateContent xmlns:mc="http://schemas.openxmlformats.org/markup-compatibility/2006">
          <mc:Choice Requires="x14">
            <control shapeId="7177" r:id="rId14" name="Check Box 9">
              <controlPr locked="0" defaultSize="0" autoFill="0" autoLine="0" autoPict="0">
                <anchor moveWithCells="1" sizeWithCells="1">
                  <from>
                    <xdr:col>1</xdr:col>
                    <xdr:colOff>76200</xdr:colOff>
                    <xdr:row>18</xdr:row>
                    <xdr:rowOff>200025</xdr:rowOff>
                  </from>
                  <to>
                    <xdr:col>2</xdr:col>
                    <xdr:colOff>0</xdr:colOff>
                    <xdr:row>20</xdr:row>
                    <xdr:rowOff>0</xdr:rowOff>
                  </to>
                </anchor>
              </controlPr>
            </control>
          </mc:Choice>
        </mc:AlternateContent>
        <mc:AlternateContent xmlns:mc="http://schemas.openxmlformats.org/markup-compatibility/2006">
          <mc:Choice Requires="x14">
            <control shapeId="7178" r:id="rId15" name="Check Box 10">
              <controlPr locked="0" defaultSize="0" autoFill="0" autoLine="0" autoPict="0">
                <anchor moveWithCells="1" sizeWithCells="1">
                  <from>
                    <xdr:col>1</xdr:col>
                    <xdr:colOff>76200</xdr:colOff>
                    <xdr:row>18</xdr:row>
                    <xdr:rowOff>0</xdr:rowOff>
                  </from>
                  <to>
                    <xdr:col>2</xdr:col>
                    <xdr:colOff>0</xdr:colOff>
                    <xdr:row>19</xdr:row>
                    <xdr:rowOff>9525</xdr:rowOff>
                  </to>
                </anchor>
              </controlPr>
            </control>
          </mc:Choice>
        </mc:AlternateContent>
        <mc:AlternateContent xmlns:mc="http://schemas.openxmlformats.org/markup-compatibility/2006">
          <mc:Choice Requires="x14">
            <control shapeId="7179" r:id="rId16" name="Check Box 11">
              <controlPr locked="0" defaultSize="0" autoFill="0" autoLine="0" autoPict="0">
                <anchor moveWithCells="1" sizeWithCells="1">
                  <from>
                    <xdr:col>4</xdr:col>
                    <xdr:colOff>66675</xdr:colOff>
                    <xdr:row>24</xdr:row>
                    <xdr:rowOff>161925</xdr:rowOff>
                  </from>
                  <to>
                    <xdr:col>4</xdr:col>
                    <xdr:colOff>371475</xdr:colOff>
                    <xdr:row>26</xdr:row>
                    <xdr:rowOff>19050</xdr:rowOff>
                  </to>
                </anchor>
              </controlPr>
            </control>
          </mc:Choice>
        </mc:AlternateContent>
        <mc:AlternateContent xmlns:mc="http://schemas.openxmlformats.org/markup-compatibility/2006">
          <mc:Choice Requires="x14">
            <control shapeId="7180" r:id="rId17" name="Check Box 12">
              <controlPr locked="0" defaultSize="0" autoFill="0" autoLine="0" autoPict="0">
                <anchor moveWithCells="1" sizeWithCells="1">
                  <from>
                    <xdr:col>4</xdr:col>
                    <xdr:colOff>66675</xdr:colOff>
                    <xdr:row>23</xdr:row>
                    <xdr:rowOff>161925</xdr:rowOff>
                  </from>
                  <to>
                    <xdr:col>4</xdr:col>
                    <xdr:colOff>371475</xdr:colOff>
                    <xdr:row>24</xdr:row>
                    <xdr:rowOff>171450</xdr:rowOff>
                  </to>
                </anchor>
              </controlPr>
            </control>
          </mc:Choice>
        </mc:AlternateContent>
        <mc:AlternateContent xmlns:mc="http://schemas.openxmlformats.org/markup-compatibility/2006">
          <mc:Choice Requires="x14">
            <control shapeId="7181" r:id="rId18" name="Check Box 13">
              <controlPr locked="0" defaultSize="0" autoFill="0" autoLine="0" autoPict="0">
                <anchor moveWithCells="1" sizeWithCells="1">
                  <from>
                    <xdr:col>4</xdr:col>
                    <xdr:colOff>66675</xdr:colOff>
                    <xdr:row>22</xdr:row>
                    <xdr:rowOff>142875</xdr:rowOff>
                  </from>
                  <to>
                    <xdr:col>4</xdr:col>
                    <xdr:colOff>371475</xdr:colOff>
                    <xdr:row>23</xdr:row>
                    <xdr:rowOff>161925</xdr:rowOff>
                  </to>
                </anchor>
              </controlPr>
            </control>
          </mc:Choice>
        </mc:AlternateContent>
        <mc:AlternateContent xmlns:mc="http://schemas.openxmlformats.org/markup-compatibility/2006">
          <mc:Choice Requires="x14">
            <control shapeId="7182" r:id="rId19" name="Check Box 14">
              <controlPr locked="0" defaultSize="0" autoFill="0" autoLine="0" autoPict="0">
                <anchor moveWithCells="1" sizeWithCells="1">
                  <from>
                    <xdr:col>4</xdr:col>
                    <xdr:colOff>66675</xdr:colOff>
                    <xdr:row>21</xdr:row>
                    <xdr:rowOff>238125</xdr:rowOff>
                  </from>
                  <to>
                    <xdr:col>4</xdr:col>
                    <xdr:colOff>371475</xdr:colOff>
                    <xdr:row>23</xdr:row>
                    <xdr:rowOff>0</xdr:rowOff>
                  </to>
                </anchor>
              </controlPr>
            </control>
          </mc:Choice>
        </mc:AlternateContent>
        <mc:AlternateContent xmlns:mc="http://schemas.openxmlformats.org/markup-compatibility/2006">
          <mc:Choice Requires="x14">
            <control shapeId="7183" r:id="rId20" name="Check Box 15">
              <controlPr locked="0" defaultSize="0" autoFill="0" autoLine="0" autoPict="0">
                <anchor moveWithCells="1" sizeWithCells="1">
                  <from>
                    <xdr:col>1</xdr:col>
                    <xdr:colOff>66675</xdr:colOff>
                    <xdr:row>24</xdr:row>
                    <xdr:rowOff>171450</xdr:rowOff>
                  </from>
                  <to>
                    <xdr:col>2</xdr:col>
                    <xdr:colOff>76200</xdr:colOff>
                    <xdr:row>26</xdr:row>
                    <xdr:rowOff>47625</xdr:rowOff>
                  </to>
                </anchor>
              </controlPr>
            </control>
          </mc:Choice>
        </mc:AlternateContent>
        <mc:AlternateContent xmlns:mc="http://schemas.openxmlformats.org/markup-compatibility/2006">
          <mc:Choice Requires="x14">
            <control shapeId="7184" r:id="rId21" name="Check Box 16">
              <controlPr locked="0" defaultSize="0" autoFill="0" autoLine="0" autoPict="0">
                <anchor moveWithCells="1" sizeWithCells="1">
                  <from>
                    <xdr:col>1</xdr:col>
                    <xdr:colOff>66675</xdr:colOff>
                    <xdr:row>23</xdr:row>
                    <xdr:rowOff>180975</xdr:rowOff>
                  </from>
                  <to>
                    <xdr:col>2</xdr:col>
                    <xdr:colOff>0</xdr:colOff>
                    <xdr:row>24</xdr:row>
                    <xdr:rowOff>190500</xdr:rowOff>
                  </to>
                </anchor>
              </controlPr>
            </control>
          </mc:Choice>
        </mc:AlternateContent>
        <mc:AlternateContent xmlns:mc="http://schemas.openxmlformats.org/markup-compatibility/2006">
          <mc:Choice Requires="x14">
            <control shapeId="7185" r:id="rId22" name="Check Box 17">
              <controlPr locked="0" defaultSize="0" autoFill="0" autoLine="0" autoPict="0">
                <anchor moveWithCells="1" sizeWithCells="1">
                  <from>
                    <xdr:col>1</xdr:col>
                    <xdr:colOff>66675</xdr:colOff>
                    <xdr:row>22</xdr:row>
                    <xdr:rowOff>152400</xdr:rowOff>
                  </from>
                  <to>
                    <xdr:col>2</xdr:col>
                    <xdr:colOff>0</xdr:colOff>
                    <xdr:row>23</xdr:row>
                    <xdr:rowOff>171450</xdr:rowOff>
                  </to>
                </anchor>
              </controlPr>
            </control>
          </mc:Choice>
        </mc:AlternateContent>
        <mc:AlternateContent xmlns:mc="http://schemas.openxmlformats.org/markup-compatibility/2006">
          <mc:Choice Requires="x14">
            <control shapeId="7186" r:id="rId23" name="Check Box 18">
              <controlPr locked="0" defaultSize="0" autoFill="0" autoLine="0" autoPict="0">
                <anchor moveWithCells="1" sizeWithCells="1">
                  <from>
                    <xdr:col>1</xdr:col>
                    <xdr:colOff>66675</xdr:colOff>
                    <xdr:row>21</xdr:row>
                    <xdr:rowOff>228600</xdr:rowOff>
                  </from>
                  <to>
                    <xdr:col>2</xdr:col>
                    <xdr:colOff>0</xdr:colOff>
                    <xdr:row>22</xdr:row>
                    <xdr:rowOff>200025</xdr:rowOff>
                  </to>
                </anchor>
              </controlPr>
            </control>
          </mc:Choice>
        </mc:AlternateContent>
        <mc:AlternateContent xmlns:mc="http://schemas.openxmlformats.org/markup-compatibility/2006">
          <mc:Choice Requires="x14">
            <control shapeId="7187" r:id="rId24" name="Check Box 19">
              <controlPr locked="0" defaultSize="0" autoFill="0" autoLine="0" autoPict="0">
                <anchor moveWithCells="1">
                  <from>
                    <xdr:col>2</xdr:col>
                    <xdr:colOff>28575</xdr:colOff>
                    <xdr:row>40</xdr:row>
                    <xdr:rowOff>9525</xdr:rowOff>
                  </from>
                  <to>
                    <xdr:col>2</xdr:col>
                    <xdr:colOff>657225</xdr:colOff>
                    <xdr:row>41</xdr:row>
                    <xdr:rowOff>19050</xdr:rowOff>
                  </to>
                </anchor>
              </controlPr>
            </control>
          </mc:Choice>
        </mc:AlternateContent>
        <mc:AlternateContent xmlns:mc="http://schemas.openxmlformats.org/markup-compatibility/2006">
          <mc:Choice Requires="x14">
            <control shapeId="7188" r:id="rId25" name="Check Box 20">
              <controlPr locked="0" defaultSize="0" autoFill="0" autoLine="0" autoPict="0">
                <anchor moveWithCells="1">
                  <from>
                    <xdr:col>3</xdr:col>
                    <xdr:colOff>28575</xdr:colOff>
                    <xdr:row>40</xdr:row>
                    <xdr:rowOff>9525</xdr:rowOff>
                  </from>
                  <to>
                    <xdr:col>3</xdr:col>
                    <xdr:colOff>904875</xdr:colOff>
                    <xdr:row>41</xdr:row>
                    <xdr:rowOff>19050</xdr:rowOff>
                  </to>
                </anchor>
              </controlPr>
            </control>
          </mc:Choice>
        </mc:AlternateContent>
        <mc:AlternateContent xmlns:mc="http://schemas.openxmlformats.org/markup-compatibility/2006">
          <mc:Choice Requires="x14">
            <control shapeId="7189" r:id="rId26" name="Check Box 21">
              <controlPr locked="0" defaultSize="0" autoFill="0" autoLine="0" autoPict="0">
                <anchor moveWithCells="1">
                  <from>
                    <xdr:col>4</xdr:col>
                    <xdr:colOff>28575</xdr:colOff>
                    <xdr:row>40</xdr:row>
                    <xdr:rowOff>9525</xdr:rowOff>
                  </from>
                  <to>
                    <xdr:col>4</xdr:col>
                    <xdr:colOff>904875</xdr:colOff>
                    <xdr:row>41</xdr:row>
                    <xdr:rowOff>19050</xdr:rowOff>
                  </to>
                </anchor>
              </controlPr>
            </control>
          </mc:Choice>
        </mc:AlternateContent>
        <mc:AlternateContent xmlns:mc="http://schemas.openxmlformats.org/markup-compatibility/2006">
          <mc:Choice Requires="x14">
            <control shapeId="7190" r:id="rId27" name="Check Box 22">
              <controlPr locked="0" defaultSize="0" autoFill="0" autoLine="0" autoPict="0">
                <anchor moveWithCells="1">
                  <from>
                    <xdr:col>5</xdr:col>
                    <xdr:colOff>28575</xdr:colOff>
                    <xdr:row>40</xdr:row>
                    <xdr:rowOff>9525</xdr:rowOff>
                  </from>
                  <to>
                    <xdr:col>5</xdr:col>
                    <xdr:colOff>1495425</xdr:colOff>
                    <xdr:row>41</xdr:row>
                    <xdr:rowOff>19050</xdr:rowOff>
                  </to>
                </anchor>
              </controlPr>
            </control>
          </mc:Choice>
        </mc:AlternateContent>
        <mc:AlternateContent xmlns:mc="http://schemas.openxmlformats.org/markup-compatibility/2006">
          <mc:Choice Requires="x14">
            <control shapeId="7191" r:id="rId28" name="Check Box 23">
              <controlPr locked="0" defaultSize="0" autoFill="0" autoLine="0" autoPict="0">
                <anchor moveWithCells="1" sizeWithCells="1">
                  <from>
                    <xdr:col>1</xdr:col>
                    <xdr:colOff>66675</xdr:colOff>
                    <xdr:row>42</xdr:row>
                    <xdr:rowOff>95250</xdr:rowOff>
                  </from>
                  <to>
                    <xdr:col>2</xdr:col>
                    <xdr:colOff>76200</xdr:colOff>
                    <xdr:row>44</xdr:row>
                    <xdr:rowOff>47625</xdr:rowOff>
                  </to>
                </anchor>
              </controlPr>
            </control>
          </mc:Choice>
        </mc:AlternateContent>
        <mc:AlternateContent xmlns:mc="http://schemas.openxmlformats.org/markup-compatibility/2006">
          <mc:Choice Requires="x14">
            <control shapeId="7192" r:id="rId29" name="Check Box 24">
              <controlPr locked="0" defaultSize="0" autoFill="0" autoLine="0" autoPict="0">
                <anchor moveWithCells="1">
                  <from>
                    <xdr:col>2</xdr:col>
                    <xdr:colOff>28575</xdr:colOff>
                    <xdr:row>44</xdr:row>
                    <xdr:rowOff>9525</xdr:rowOff>
                  </from>
                  <to>
                    <xdr:col>2</xdr:col>
                    <xdr:colOff>904875</xdr:colOff>
                    <xdr:row>45</xdr:row>
                    <xdr:rowOff>19050</xdr:rowOff>
                  </to>
                </anchor>
              </controlPr>
            </control>
          </mc:Choice>
        </mc:AlternateContent>
        <mc:AlternateContent xmlns:mc="http://schemas.openxmlformats.org/markup-compatibility/2006">
          <mc:Choice Requires="x14">
            <control shapeId="7193" r:id="rId30" name="Check Box 25">
              <controlPr locked="0" defaultSize="0" autoFill="0" autoLine="0" autoPict="0">
                <anchor moveWithCells="1">
                  <from>
                    <xdr:col>3</xdr:col>
                    <xdr:colOff>28575</xdr:colOff>
                    <xdr:row>44</xdr:row>
                    <xdr:rowOff>9525</xdr:rowOff>
                  </from>
                  <to>
                    <xdr:col>3</xdr:col>
                    <xdr:colOff>657225</xdr:colOff>
                    <xdr:row>45</xdr:row>
                    <xdr:rowOff>19050</xdr:rowOff>
                  </to>
                </anchor>
              </controlPr>
            </control>
          </mc:Choice>
        </mc:AlternateContent>
        <mc:AlternateContent xmlns:mc="http://schemas.openxmlformats.org/markup-compatibility/2006">
          <mc:Choice Requires="x14">
            <control shapeId="7194" r:id="rId31" name="Check Box 26">
              <controlPr locked="0" defaultSize="0" autoFill="0" autoLine="0" autoPict="0">
                <anchor moveWithCells="1">
                  <from>
                    <xdr:col>2</xdr:col>
                    <xdr:colOff>28575</xdr:colOff>
                    <xdr:row>47</xdr:row>
                    <xdr:rowOff>9525</xdr:rowOff>
                  </from>
                  <to>
                    <xdr:col>4</xdr:col>
                    <xdr:colOff>76200</xdr:colOff>
                    <xdr:row>48</xdr:row>
                    <xdr:rowOff>19050</xdr:rowOff>
                  </to>
                </anchor>
              </controlPr>
            </control>
          </mc:Choice>
        </mc:AlternateContent>
        <mc:AlternateContent xmlns:mc="http://schemas.openxmlformats.org/markup-compatibility/2006">
          <mc:Choice Requires="x14">
            <control shapeId="7195" r:id="rId32" name="Check Box 27">
              <controlPr locked="0" defaultSize="0" autoFill="0" autoLine="0" autoPict="0">
                <anchor moveWithCells="1">
                  <from>
                    <xdr:col>5</xdr:col>
                    <xdr:colOff>28575</xdr:colOff>
                    <xdr:row>47</xdr:row>
                    <xdr:rowOff>9525</xdr:rowOff>
                  </from>
                  <to>
                    <xdr:col>7</xdr:col>
                    <xdr:colOff>904875</xdr:colOff>
                    <xdr:row>48</xdr:row>
                    <xdr:rowOff>19050</xdr:rowOff>
                  </to>
                </anchor>
              </controlPr>
            </control>
          </mc:Choice>
        </mc:AlternateContent>
        <mc:AlternateContent xmlns:mc="http://schemas.openxmlformats.org/markup-compatibility/2006">
          <mc:Choice Requires="x14">
            <control shapeId="7196" r:id="rId33" name="Check Box 28">
              <controlPr locked="0" defaultSize="0" autoFill="0" autoLine="0" autoPict="0">
                <anchor moveWithCells="1">
                  <from>
                    <xdr:col>2</xdr:col>
                    <xdr:colOff>28575</xdr:colOff>
                    <xdr:row>50</xdr:row>
                    <xdr:rowOff>9525</xdr:rowOff>
                  </from>
                  <to>
                    <xdr:col>2</xdr:col>
                    <xdr:colOff>819150</xdr:colOff>
                    <xdr:row>51</xdr:row>
                    <xdr:rowOff>19050</xdr:rowOff>
                  </to>
                </anchor>
              </controlPr>
            </control>
          </mc:Choice>
        </mc:AlternateContent>
        <mc:AlternateContent xmlns:mc="http://schemas.openxmlformats.org/markup-compatibility/2006">
          <mc:Choice Requires="x14">
            <control shapeId="7197" r:id="rId34" name="Check Box 29">
              <controlPr locked="0" defaultSize="0" autoFill="0" autoLine="0" autoPict="0">
                <anchor moveWithCells="1">
                  <from>
                    <xdr:col>3</xdr:col>
                    <xdr:colOff>28575</xdr:colOff>
                    <xdr:row>50</xdr:row>
                    <xdr:rowOff>9525</xdr:rowOff>
                  </from>
                  <to>
                    <xdr:col>3</xdr:col>
                    <xdr:colOff>819150</xdr:colOff>
                    <xdr:row>51</xdr:row>
                    <xdr:rowOff>19050</xdr:rowOff>
                  </to>
                </anchor>
              </controlPr>
            </control>
          </mc:Choice>
        </mc:AlternateContent>
        <mc:AlternateContent xmlns:mc="http://schemas.openxmlformats.org/markup-compatibility/2006">
          <mc:Choice Requires="x14">
            <control shapeId="7198" r:id="rId35" name="Check Box 30">
              <controlPr locked="0" defaultSize="0" autoFill="0" autoLine="0" autoPict="0">
                <anchor moveWithCells="1">
                  <from>
                    <xdr:col>4</xdr:col>
                    <xdr:colOff>28575</xdr:colOff>
                    <xdr:row>44</xdr:row>
                    <xdr:rowOff>9525</xdr:rowOff>
                  </from>
                  <to>
                    <xdr:col>4</xdr:col>
                    <xdr:colOff>819150</xdr:colOff>
                    <xdr:row>45</xdr:row>
                    <xdr:rowOff>19050</xdr:rowOff>
                  </to>
                </anchor>
              </controlPr>
            </control>
          </mc:Choice>
        </mc:AlternateContent>
        <mc:AlternateContent xmlns:mc="http://schemas.openxmlformats.org/markup-compatibility/2006">
          <mc:Choice Requires="x14">
            <control shapeId="7199" r:id="rId36" name="Check Box 31">
              <controlPr locked="0" defaultSize="0" autoFill="0" autoLine="0" autoPict="0">
                <anchor moveWithCells="1" sizeWithCells="1">
                  <from>
                    <xdr:col>1</xdr:col>
                    <xdr:colOff>66675</xdr:colOff>
                    <xdr:row>52</xdr:row>
                    <xdr:rowOff>28575</xdr:rowOff>
                  </from>
                  <to>
                    <xdr:col>2</xdr:col>
                    <xdr:colOff>76200</xdr:colOff>
                    <xdr:row>52</xdr:row>
                    <xdr:rowOff>161925</xdr:rowOff>
                  </to>
                </anchor>
              </controlPr>
            </control>
          </mc:Choice>
        </mc:AlternateContent>
        <mc:AlternateContent xmlns:mc="http://schemas.openxmlformats.org/markup-compatibility/2006">
          <mc:Choice Requires="x14">
            <control shapeId="7200" r:id="rId37" name="Check Box 32">
              <controlPr locked="0" defaultSize="0" autoFill="0" autoLine="0" autoPict="0">
                <anchor moveWithCells="1">
                  <from>
                    <xdr:col>2</xdr:col>
                    <xdr:colOff>28575</xdr:colOff>
                    <xdr:row>53</xdr:row>
                    <xdr:rowOff>9525</xdr:rowOff>
                  </from>
                  <to>
                    <xdr:col>2</xdr:col>
                    <xdr:colOff>819150</xdr:colOff>
                    <xdr:row>54</xdr:row>
                    <xdr:rowOff>19050</xdr:rowOff>
                  </to>
                </anchor>
              </controlPr>
            </control>
          </mc:Choice>
        </mc:AlternateContent>
        <mc:AlternateContent xmlns:mc="http://schemas.openxmlformats.org/markup-compatibility/2006">
          <mc:Choice Requires="x14">
            <control shapeId="7201" r:id="rId38" name="Check Box 33">
              <controlPr locked="0" defaultSize="0" autoFill="0" autoLine="0" autoPict="0">
                <anchor moveWithCells="1">
                  <from>
                    <xdr:col>3</xdr:col>
                    <xdr:colOff>28575</xdr:colOff>
                    <xdr:row>53</xdr:row>
                    <xdr:rowOff>9525</xdr:rowOff>
                  </from>
                  <to>
                    <xdr:col>3</xdr:col>
                    <xdr:colOff>819150</xdr:colOff>
                    <xdr:row>54</xdr:row>
                    <xdr:rowOff>19050</xdr:rowOff>
                  </to>
                </anchor>
              </controlPr>
            </control>
          </mc:Choice>
        </mc:AlternateContent>
        <mc:AlternateContent xmlns:mc="http://schemas.openxmlformats.org/markup-compatibility/2006">
          <mc:Choice Requires="x14">
            <control shapeId="7202" r:id="rId39" name="Check Box 34">
              <controlPr locked="0" defaultSize="0" autoFill="0" autoLine="0" autoPict="0">
                <anchor moveWithCells="1">
                  <from>
                    <xdr:col>4</xdr:col>
                    <xdr:colOff>28575</xdr:colOff>
                    <xdr:row>53</xdr:row>
                    <xdr:rowOff>9525</xdr:rowOff>
                  </from>
                  <to>
                    <xdr:col>4</xdr:col>
                    <xdr:colOff>819150</xdr:colOff>
                    <xdr:row>54</xdr:row>
                    <xdr:rowOff>19050</xdr:rowOff>
                  </to>
                </anchor>
              </controlPr>
            </control>
          </mc:Choice>
        </mc:AlternateContent>
        <mc:AlternateContent xmlns:mc="http://schemas.openxmlformats.org/markup-compatibility/2006">
          <mc:Choice Requires="x14">
            <control shapeId="7203" r:id="rId40" name="Check Box 35">
              <controlPr locked="0" defaultSize="0" autoFill="0" autoLine="0" autoPict="0">
                <anchor moveWithCells="1">
                  <from>
                    <xdr:col>5</xdr:col>
                    <xdr:colOff>28575</xdr:colOff>
                    <xdr:row>53</xdr:row>
                    <xdr:rowOff>9525</xdr:rowOff>
                  </from>
                  <to>
                    <xdr:col>5</xdr:col>
                    <xdr:colOff>609600</xdr:colOff>
                    <xdr:row>54</xdr:row>
                    <xdr:rowOff>57150</xdr:rowOff>
                  </to>
                </anchor>
              </controlPr>
            </control>
          </mc:Choice>
        </mc:AlternateContent>
        <mc:AlternateContent xmlns:mc="http://schemas.openxmlformats.org/markup-compatibility/2006">
          <mc:Choice Requires="x14">
            <control shapeId="7204" r:id="rId41" name="Check Box 36">
              <controlPr locked="0" defaultSize="0" autoFill="0" autoLine="0" autoPict="0">
                <anchor moveWithCells="1">
                  <from>
                    <xdr:col>6</xdr:col>
                    <xdr:colOff>28575</xdr:colOff>
                    <xdr:row>53</xdr:row>
                    <xdr:rowOff>9525</xdr:rowOff>
                  </from>
                  <to>
                    <xdr:col>6</xdr:col>
                    <xdr:colOff>714375</xdr:colOff>
                    <xdr:row>54</xdr:row>
                    <xdr:rowOff>19050</xdr:rowOff>
                  </to>
                </anchor>
              </controlPr>
            </control>
          </mc:Choice>
        </mc:AlternateContent>
        <mc:AlternateContent xmlns:mc="http://schemas.openxmlformats.org/markup-compatibility/2006">
          <mc:Choice Requires="x14">
            <control shapeId="7205" r:id="rId42" name="Check Box 37">
              <controlPr locked="0" defaultSize="0" autoFill="0" autoLine="0" autoPict="0">
                <anchor moveWithCells="1">
                  <from>
                    <xdr:col>2</xdr:col>
                    <xdr:colOff>28575</xdr:colOff>
                    <xdr:row>41</xdr:row>
                    <xdr:rowOff>9525</xdr:rowOff>
                  </from>
                  <to>
                    <xdr:col>4</xdr:col>
                    <xdr:colOff>476250</xdr:colOff>
                    <xdr:row>42</xdr:row>
                    <xdr:rowOff>19050</xdr:rowOff>
                  </to>
                </anchor>
              </controlPr>
            </control>
          </mc:Choice>
        </mc:AlternateContent>
        <mc:AlternateContent xmlns:mc="http://schemas.openxmlformats.org/markup-compatibility/2006">
          <mc:Choice Requires="x14">
            <control shapeId="7206" r:id="rId43" name="Check Box 38">
              <controlPr locked="0" defaultSize="0" autoFill="0" autoLine="0" autoPict="0">
                <anchor moveWithCells="1">
                  <from>
                    <xdr:col>4</xdr:col>
                    <xdr:colOff>0</xdr:colOff>
                    <xdr:row>57</xdr:row>
                    <xdr:rowOff>19050</xdr:rowOff>
                  </from>
                  <to>
                    <xdr:col>5</xdr:col>
                    <xdr:colOff>266700</xdr:colOff>
                    <xdr:row>58</xdr:row>
                    <xdr:rowOff>28575</xdr:rowOff>
                  </to>
                </anchor>
              </controlPr>
            </control>
          </mc:Choice>
        </mc:AlternateContent>
        <mc:AlternateContent xmlns:mc="http://schemas.openxmlformats.org/markup-compatibility/2006">
          <mc:Choice Requires="x14">
            <control shapeId="7207" r:id="rId44" name="Check Box 39">
              <controlPr locked="0" defaultSize="0" autoFill="0" autoLine="0" autoPict="0">
                <anchor moveWithCells="1" sizeWithCells="1">
                  <from>
                    <xdr:col>6</xdr:col>
                    <xdr:colOff>161925</xdr:colOff>
                    <xdr:row>18</xdr:row>
                    <xdr:rowOff>180975</xdr:rowOff>
                  </from>
                  <to>
                    <xdr:col>6</xdr:col>
                    <xdr:colOff>466725</xdr:colOff>
                    <xdr:row>19</xdr:row>
                    <xdr:rowOff>180975</xdr:rowOff>
                  </to>
                </anchor>
              </controlPr>
            </control>
          </mc:Choice>
        </mc:AlternateContent>
        <mc:AlternateContent xmlns:mc="http://schemas.openxmlformats.org/markup-compatibility/2006">
          <mc:Choice Requires="x14">
            <control shapeId="7208" r:id="rId45" name="Check Box 40">
              <controlPr locked="0" defaultSize="0" autoFill="0" autoLine="0" autoPict="0">
                <anchor moveWithCells="1">
                  <from>
                    <xdr:col>2</xdr:col>
                    <xdr:colOff>38100</xdr:colOff>
                    <xdr:row>57</xdr:row>
                    <xdr:rowOff>19050</xdr:rowOff>
                  </from>
                  <to>
                    <xdr:col>3</xdr:col>
                    <xdr:colOff>1095375</xdr:colOff>
                    <xdr:row>58</xdr:row>
                    <xdr:rowOff>28575</xdr:rowOff>
                  </to>
                </anchor>
              </controlPr>
            </control>
          </mc:Choice>
        </mc:AlternateContent>
        <mc:AlternateContent xmlns:mc="http://schemas.openxmlformats.org/markup-compatibility/2006">
          <mc:Choice Requires="x14">
            <control shapeId="7209" r:id="rId46" name="Drop Down 41">
              <controlPr locked="0" defaultSize="0" autoLine="0" autoPict="0">
                <anchor moveWithCells="1">
                  <from>
                    <xdr:col>4</xdr:col>
                    <xdr:colOff>800100</xdr:colOff>
                    <xdr:row>233</xdr:row>
                    <xdr:rowOff>0</xdr:rowOff>
                  </from>
                  <to>
                    <xdr:col>5</xdr:col>
                    <xdr:colOff>790575</xdr:colOff>
                    <xdr:row>299</xdr:row>
                    <xdr:rowOff>9525</xdr:rowOff>
                  </to>
                </anchor>
              </controlPr>
            </control>
          </mc:Choice>
        </mc:AlternateContent>
        <mc:AlternateContent xmlns:mc="http://schemas.openxmlformats.org/markup-compatibility/2006">
          <mc:Choice Requires="x14">
            <control shapeId="7210" r:id="rId47" name="Drop Down 42">
              <controlPr locked="0" defaultSize="0" autoLine="0" autoPict="0">
                <anchor moveWithCells="1">
                  <from>
                    <xdr:col>4</xdr:col>
                    <xdr:colOff>809625</xdr:colOff>
                    <xdr:row>234</xdr:row>
                    <xdr:rowOff>38100</xdr:rowOff>
                  </from>
                  <to>
                    <xdr:col>5</xdr:col>
                    <xdr:colOff>790575</xdr:colOff>
                    <xdr:row>298</xdr:row>
                    <xdr:rowOff>200025</xdr:rowOff>
                  </to>
                </anchor>
              </controlPr>
            </control>
          </mc:Choice>
        </mc:AlternateContent>
        <mc:AlternateContent xmlns:mc="http://schemas.openxmlformats.org/markup-compatibility/2006">
          <mc:Choice Requires="x14">
            <control shapeId="7211" r:id="rId48" name="Drop Down 43">
              <controlPr locked="0" defaultSize="0" autoLine="0" autoPict="0">
                <anchor moveWithCells="1">
                  <from>
                    <xdr:col>4</xdr:col>
                    <xdr:colOff>809625</xdr:colOff>
                    <xdr:row>235</xdr:row>
                    <xdr:rowOff>47625</xdr:rowOff>
                  </from>
                  <to>
                    <xdr:col>5</xdr:col>
                    <xdr:colOff>790575</xdr:colOff>
                    <xdr:row>298</xdr:row>
                    <xdr:rowOff>200025</xdr:rowOff>
                  </to>
                </anchor>
              </controlPr>
            </control>
          </mc:Choice>
        </mc:AlternateContent>
        <mc:AlternateContent xmlns:mc="http://schemas.openxmlformats.org/markup-compatibility/2006">
          <mc:Choice Requires="x14">
            <control shapeId="7212" r:id="rId49" name="Drop Down 44">
              <controlPr locked="0" defaultSize="0" autoLine="0" autoPict="0">
                <anchor moveWithCells="1">
                  <from>
                    <xdr:col>5</xdr:col>
                    <xdr:colOff>1552575</xdr:colOff>
                    <xdr:row>241</xdr:row>
                    <xdr:rowOff>9525</xdr:rowOff>
                  </from>
                  <to>
                    <xdr:col>7</xdr:col>
                    <xdr:colOff>9525</xdr:colOff>
                    <xdr:row>298</xdr:row>
                    <xdr:rowOff>200025</xdr:rowOff>
                  </to>
                </anchor>
              </controlPr>
            </control>
          </mc:Choice>
        </mc:AlternateContent>
        <mc:AlternateContent xmlns:mc="http://schemas.openxmlformats.org/markup-compatibility/2006">
          <mc:Choice Requires="x14">
            <control shapeId="7213" r:id="rId50" name="Drop Down 45">
              <controlPr locked="0" defaultSize="0" autoLine="0" autoPict="0">
                <anchor moveWithCells="1">
                  <from>
                    <xdr:col>5</xdr:col>
                    <xdr:colOff>1552575</xdr:colOff>
                    <xdr:row>242</xdr:row>
                    <xdr:rowOff>19050</xdr:rowOff>
                  </from>
                  <to>
                    <xdr:col>7</xdr:col>
                    <xdr:colOff>9525</xdr:colOff>
                    <xdr:row>298</xdr:row>
                    <xdr:rowOff>200025</xdr:rowOff>
                  </to>
                </anchor>
              </controlPr>
            </control>
          </mc:Choice>
        </mc:AlternateContent>
        <mc:AlternateContent xmlns:mc="http://schemas.openxmlformats.org/markup-compatibility/2006">
          <mc:Choice Requires="x14">
            <control shapeId="7214" r:id="rId51" name="Drop Down 46">
              <controlPr locked="0" defaultSize="0" autoLine="0" autoPict="0">
                <anchor moveWithCells="1">
                  <from>
                    <xdr:col>5</xdr:col>
                    <xdr:colOff>1552575</xdr:colOff>
                    <xdr:row>243</xdr:row>
                    <xdr:rowOff>38100</xdr:rowOff>
                  </from>
                  <to>
                    <xdr:col>7</xdr:col>
                    <xdr:colOff>9525</xdr:colOff>
                    <xdr:row>298</xdr:row>
                    <xdr:rowOff>200025</xdr:rowOff>
                  </to>
                </anchor>
              </controlPr>
            </control>
          </mc:Choice>
        </mc:AlternateContent>
        <mc:AlternateContent xmlns:mc="http://schemas.openxmlformats.org/markup-compatibility/2006">
          <mc:Choice Requires="x14">
            <control shapeId="7215" r:id="rId52" name="Drop Down 47">
              <controlPr locked="0" defaultSize="0" autoLine="0" autoPict="0">
                <anchor moveWithCells="1">
                  <from>
                    <xdr:col>3</xdr:col>
                    <xdr:colOff>828675</xdr:colOff>
                    <xdr:row>253</xdr:row>
                    <xdr:rowOff>9525</xdr:rowOff>
                  </from>
                  <to>
                    <xdr:col>5</xdr:col>
                    <xdr:colOff>28575</xdr:colOff>
                    <xdr:row>298</xdr:row>
                    <xdr:rowOff>200025</xdr:rowOff>
                  </to>
                </anchor>
              </controlPr>
            </control>
          </mc:Choice>
        </mc:AlternateContent>
        <mc:AlternateContent xmlns:mc="http://schemas.openxmlformats.org/markup-compatibility/2006">
          <mc:Choice Requires="x14">
            <control shapeId="7216" r:id="rId53" name="Drop Down 48">
              <controlPr locked="0" defaultSize="0" autoLine="0" autoPict="0">
                <anchor moveWithCells="1">
                  <from>
                    <xdr:col>2</xdr:col>
                    <xdr:colOff>676275</xdr:colOff>
                    <xdr:row>251</xdr:row>
                    <xdr:rowOff>19050</xdr:rowOff>
                  </from>
                  <to>
                    <xdr:col>3</xdr:col>
                    <xdr:colOff>876300</xdr:colOff>
                    <xdr:row>298</xdr:row>
                    <xdr:rowOff>200025</xdr:rowOff>
                  </to>
                </anchor>
              </controlPr>
            </control>
          </mc:Choice>
        </mc:AlternateContent>
        <mc:AlternateContent xmlns:mc="http://schemas.openxmlformats.org/markup-compatibility/2006">
          <mc:Choice Requires="x14">
            <control shapeId="7217" r:id="rId54" name="Check Box 49">
              <controlPr locked="0" defaultSize="0" autoFill="0" autoLine="0" autoPict="0">
                <anchor moveWithCells="1" sizeWithCells="1">
                  <from>
                    <xdr:col>11</xdr:col>
                    <xdr:colOff>38100</xdr:colOff>
                    <xdr:row>64</xdr:row>
                    <xdr:rowOff>114300</xdr:rowOff>
                  </from>
                  <to>
                    <xdr:col>11</xdr:col>
                    <xdr:colOff>304800</xdr:colOff>
                    <xdr:row>65</xdr:row>
                    <xdr:rowOff>9525</xdr:rowOff>
                  </to>
                </anchor>
              </controlPr>
            </control>
          </mc:Choice>
        </mc:AlternateContent>
        <mc:AlternateContent xmlns:mc="http://schemas.openxmlformats.org/markup-compatibility/2006">
          <mc:Choice Requires="x14">
            <control shapeId="7218" r:id="rId55" name="Drop Down 50">
              <controlPr locked="0" defaultSize="0" autoLine="0" autoPict="0">
                <anchor moveWithCells="1">
                  <from>
                    <xdr:col>4</xdr:col>
                    <xdr:colOff>38100</xdr:colOff>
                    <xdr:row>263</xdr:row>
                    <xdr:rowOff>28575</xdr:rowOff>
                  </from>
                  <to>
                    <xdr:col>5</xdr:col>
                    <xdr:colOff>1543050</xdr:colOff>
                    <xdr:row>298</xdr:row>
                    <xdr:rowOff>200025</xdr:rowOff>
                  </to>
                </anchor>
              </controlPr>
            </control>
          </mc:Choice>
        </mc:AlternateContent>
        <mc:AlternateContent xmlns:mc="http://schemas.openxmlformats.org/markup-compatibility/2006">
          <mc:Choice Requires="x14">
            <control shapeId="7219" r:id="rId56" name="Drop Down 51">
              <controlPr locked="0" defaultSize="0" autoLine="0" autoPict="0">
                <anchor moveWithCells="1">
                  <from>
                    <xdr:col>4</xdr:col>
                    <xdr:colOff>0</xdr:colOff>
                    <xdr:row>271</xdr:row>
                    <xdr:rowOff>9525</xdr:rowOff>
                  </from>
                  <to>
                    <xdr:col>6</xdr:col>
                    <xdr:colOff>219075</xdr:colOff>
                    <xdr:row>299</xdr:row>
                    <xdr:rowOff>0</xdr:rowOff>
                  </to>
                </anchor>
              </controlPr>
            </control>
          </mc:Choice>
        </mc:AlternateContent>
        <mc:AlternateContent xmlns:mc="http://schemas.openxmlformats.org/markup-compatibility/2006">
          <mc:Choice Requires="x14">
            <control shapeId="7220" r:id="rId57" name="Drop Down 52">
              <controlPr locked="0" defaultSize="0" autoLine="0" autoPict="0">
                <anchor moveWithCells="1">
                  <from>
                    <xdr:col>4</xdr:col>
                    <xdr:colOff>0</xdr:colOff>
                    <xdr:row>281</xdr:row>
                    <xdr:rowOff>9525</xdr:rowOff>
                  </from>
                  <to>
                    <xdr:col>5</xdr:col>
                    <xdr:colOff>1495425</xdr:colOff>
                    <xdr:row>299</xdr:row>
                    <xdr:rowOff>0</xdr:rowOff>
                  </to>
                </anchor>
              </controlPr>
            </control>
          </mc:Choice>
        </mc:AlternateContent>
        <mc:AlternateContent xmlns:mc="http://schemas.openxmlformats.org/markup-compatibility/2006">
          <mc:Choice Requires="x14">
            <control shapeId="7221" r:id="rId58" name="Check Box 53">
              <controlPr defaultSize="0" autoFill="0" autoLine="0" autoPict="0">
                <anchor moveWithCells="1">
                  <from>
                    <xdr:col>2</xdr:col>
                    <xdr:colOff>28575</xdr:colOff>
                    <xdr:row>54</xdr:row>
                    <xdr:rowOff>9525</xdr:rowOff>
                  </from>
                  <to>
                    <xdr:col>5</xdr:col>
                    <xdr:colOff>123825</xdr:colOff>
                    <xdr:row>55</xdr:row>
                    <xdr:rowOff>19050</xdr:rowOff>
                  </to>
                </anchor>
              </controlPr>
            </control>
          </mc:Choice>
        </mc:AlternateContent>
        <mc:AlternateContent xmlns:mc="http://schemas.openxmlformats.org/markup-compatibility/2006">
          <mc:Choice Requires="x14">
            <control shapeId="7222" r:id="rId59" name="Check Box 54">
              <controlPr locked="0" defaultSize="0" autoFill="0" autoLine="0" autoPict="0">
                <anchor moveWithCells="1">
                  <from>
                    <xdr:col>5</xdr:col>
                    <xdr:colOff>790575</xdr:colOff>
                    <xdr:row>57</xdr:row>
                    <xdr:rowOff>19050</xdr:rowOff>
                  </from>
                  <to>
                    <xdr:col>6</xdr:col>
                    <xdr:colOff>400050</xdr:colOff>
                    <xdr:row>58</xdr:row>
                    <xdr:rowOff>19050</xdr:rowOff>
                  </to>
                </anchor>
              </controlPr>
            </control>
          </mc:Choice>
        </mc:AlternateContent>
        <mc:AlternateContent xmlns:mc="http://schemas.openxmlformats.org/markup-compatibility/2006">
          <mc:Choice Requires="x14">
            <control shapeId="7226" r:id="rId60" name="Check Box 58">
              <controlPr locked="0" defaultSize="0" autoFill="0" autoLine="0" autoPict="0">
                <anchor moveWithCells="1">
                  <from>
                    <xdr:col>6</xdr:col>
                    <xdr:colOff>723900</xdr:colOff>
                    <xdr:row>57</xdr:row>
                    <xdr:rowOff>19050</xdr:rowOff>
                  </from>
                  <to>
                    <xdr:col>7</xdr:col>
                    <xdr:colOff>762000</xdr:colOff>
                    <xdr:row>58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Z152"/>
  <sheetViews>
    <sheetView showGridLines="0" zoomScaleNormal="100" workbookViewId="0">
      <selection activeCell="I10" sqref="I1:R1048576"/>
    </sheetView>
  </sheetViews>
  <sheetFormatPr baseColWidth="10" defaultRowHeight="17.100000000000001" customHeight="1" x14ac:dyDescent="0.2"/>
  <cols>
    <col min="1" max="1" width="4.85546875" style="93" customWidth="1"/>
    <col min="2" max="2" width="3.85546875" style="93" customWidth="1"/>
    <col min="3" max="3" width="16" style="93" customWidth="1"/>
    <col min="4" max="4" width="17.42578125" style="93" customWidth="1"/>
    <col min="5" max="5" width="19.5703125" style="93" customWidth="1"/>
    <col min="6" max="6" width="21.28515625" style="93" customWidth="1"/>
    <col min="7" max="7" width="17" style="93" customWidth="1"/>
    <col min="8" max="8" width="15.5703125" style="93" customWidth="1"/>
    <col min="9" max="9" width="2" style="93" hidden="1" customWidth="1"/>
    <col min="10" max="10" width="11.42578125" style="719" hidden="1" customWidth="1"/>
    <col min="11" max="11" width="12.85546875" style="719" hidden="1" customWidth="1"/>
    <col min="12" max="12" width="14.85546875" style="719" hidden="1" customWidth="1"/>
    <col min="13" max="13" width="15.42578125" style="719" hidden="1" customWidth="1"/>
    <col min="14" max="14" width="28.140625" style="719" hidden="1" customWidth="1"/>
    <col min="15" max="15" width="11.42578125" style="719" hidden="1" customWidth="1"/>
    <col min="16" max="16" width="16.140625" style="719" hidden="1" customWidth="1"/>
    <col min="17" max="17" width="14.28515625" style="719" hidden="1" customWidth="1"/>
    <col min="18" max="18" width="11.42578125" style="719" hidden="1" customWidth="1"/>
    <col min="19" max="19" width="11.42578125" style="719" customWidth="1"/>
    <col min="20" max="20" width="11.42578125" style="93" customWidth="1"/>
    <col min="21" max="21" width="16" style="93" customWidth="1"/>
    <col min="22" max="26" width="11.42578125" style="93" customWidth="1"/>
    <col min="27" max="16384" width="11.42578125" style="93"/>
  </cols>
  <sheetData>
    <row r="1" spans="1:26" ht="42" customHeight="1" x14ac:dyDescent="0.3">
      <c r="A1" s="1095" t="s">
        <v>253</v>
      </c>
      <c r="B1" s="1096"/>
      <c r="C1" s="1096"/>
      <c r="D1" s="1096"/>
      <c r="E1" s="1096"/>
      <c r="F1" s="1096"/>
      <c r="G1" s="1096"/>
      <c r="H1" s="1097"/>
    </row>
    <row r="2" spans="1:26" ht="12" customHeight="1" x14ac:dyDescent="0.2">
      <c r="A2" s="720" t="str">
        <f>Erklärung!A2</f>
        <v>Version 3.2</v>
      </c>
      <c r="B2" s="721"/>
      <c r="C2" s="721"/>
      <c r="D2" s="721"/>
      <c r="E2" s="721"/>
      <c r="F2" s="721"/>
      <c r="G2" s="722" t="str">
        <f>Erklärung!D2</f>
        <v>Stand: August 2016</v>
      </c>
      <c r="H2" s="481"/>
    </row>
    <row r="3" spans="1:26" ht="6" customHeight="1" x14ac:dyDescent="0.2">
      <c r="A3" s="428"/>
      <c r="B3" s="429"/>
      <c r="C3" s="430"/>
      <c r="D3" s="430"/>
      <c r="E3" s="430"/>
      <c r="F3" s="430"/>
      <c r="G3" s="430"/>
      <c r="H3" s="431"/>
      <c r="J3" s="93"/>
      <c r="K3" s="93"/>
      <c r="L3" s="93"/>
      <c r="M3" s="93"/>
      <c r="N3" s="93"/>
      <c r="O3" s="93"/>
      <c r="P3" s="93"/>
      <c r="Q3" s="93"/>
      <c r="R3" s="93"/>
      <c r="S3" s="93"/>
    </row>
    <row r="4" spans="1:26" ht="16.5" customHeight="1" x14ac:dyDescent="0.2">
      <c r="A4" s="433" t="s">
        <v>228</v>
      </c>
      <c r="B4" s="434"/>
      <c r="C4" s="1093" t="str">
        <f>IF(Basisdaten!C10="","",Basisdaten!C10)</f>
        <v/>
      </c>
      <c r="D4" s="1093"/>
      <c r="E4" s="1093"/>
      <c r="F4" s="1093"/>
      <c r="G4" s="1093"/>
      <c r="H4" s="1094"/>
      <c r="J4" s="93"/>
      <c r="K4" s="93"/>
      <c r="L4" s="93"/>
      <c r="M4" s="93"/>
      <c r="N4" s="93"/>
      <c r="O4" s="93"/>
      <c r="P4" s="93"/>
      <c r="Q4" s="93"/>
      <c r="R4" s="93"/>
      <c r="S4" s="93"/>
    </row>
    <row r="5" spans="1:26" ht="16.5" customHeight="1" x14ac:dyDescent="0.2">
      <c r="A5" s="435" t="s">
        <v>229</v>
      </c>
      <c r="B5" s="436"/>
      <c r="C5" s="1093" t="str">
        <f>IF(Basisdaten!C11="","",Basisdaten!C11)</f>
        <v/>
      </c>
      <c r="D5" s="1093"/>
      <c r="E5" s="1093"/>
      <c r="F5" s="1093"/>
      <c r="G5" s="1093"/>
      <c r="H5" s="1094"/>
      <c r="J5" s="93"/>
      <c r="K5" s="93"/>
      <c r="L5" s="93"/>
      <c r="M5" s="93"/>
      <c r="N5" s="93"/>
      <c r="O5" s="93"/>
      <c r="P5" s="93"/>
      <c r="Q5" s="93"/>
      <c r="R5" s="93"/>
      <c r="S5" s="93"/>
    </row>
    <row r="6" spans="1:26" ht="16.5" customHeight="1" x14ac:dyDescent="0.2">
      <c r="A6" s="437"/>
      <c r="B6" s="438"/>
      <c r="C6" s="1107" t="str">
        <f>IF(Basisdaten!C12="","",Basisdaten!C12)</f>
        <v/>
      </c>
      <c r="D6" s="1107"/>
      <c r="E6" s="1107"/>
      <c r="F6" s="1107"/>
      <c r="G6" s="1107"/>
      <c r="H6" s="1108"/>
      <c r="J6" s="93"/>
      <c r="K6" s="93"/>
      <c r="L6" s="93"/>
      <c r="M6" s="93"/>
      <c r="N6" s="93"/>
      <c r="O6" s="93"/>
      <c r="P6" s="93"/>
      <c r="Q6" s="93"/>
      <c r="R6" s="93"/>
      <c r="S6" s="93"/>
    </row>
    <row r="7" spans="1:26" ht="6" customHeight="1" x14ac:dyDescent="0.2">
      <c r="A7" s="425"/>
      <c r="B7" s="426"/>
      <c r="C7" s="427"/>
      <c r="D7" s="427"/>
      <c r="E7" s="427"/>
      <c r="F7" s="427"/>
      <c r="G7" s="427"/>
      <c r="H7" s="432"/>
      <c r="J7" s="93"/>
      <c r="K7" s="93"/>
      <c r="L7" s="93"/>
      <c r="M7" s="93"/>
      <c r="N7" s="93"/>
      <c r="O7" s="93"/>
      <c r="P7" s="93"/>
      <c r="Q7" s="93"/>
      <c r="R7" s="93"/>
      <c r="S7" s="93"/>
    </row>
    <row r="8" spans="1:26" ht="24" customHeight="1" x14ac:dyDescent="0.2">
      <c r="A8" s="704" t="s">
        <v>82</v>
      </c>
      <c r="B8" s="1104" t="s">
        <v>80</v>
      </c>
      <c r="C8" s="1105"/>
      <c r="D8" s="1105"/>
      <c r="E8" s="1105"/>
      <c r="F8" s="1105"/>
      <c r="G8" s="1105"/>
      <c r="H8" s="1106"/>
      <c r="J8" s="723"/>
      <c r="K8" s="723"/>
      <c r="L8" s="723"/>
      <c r="M8" s="723"/>
      <c r="N8" s="723"/>
      <c r="O8" s="723"/>
      <c r="P8" s="724"/>
      <c r="Q8" s="724"/>
      <c r="R8" s="724"/>
      <c r="S8" s="724"/>
      <c r="T8" s="725"/>
      <c r="U8" s="725"/>
      <c r="V8" s="725"/>
      <c r="W8" s="140"/>
      <c r="X8" s="111"/>
      <c r="Y8" s="111"/>
      <c r="Z8" s="111"/>
    </row>
    <row r="9" spans="1:26" ht="45" customHeight="1" x14ac:dyDescent="0.2">
      <c r="A9" s="1072" t="s">
        <v>85</v>
      </c>
      <c r="B9" s="1073"/>
      <c r="C9" s="1073"/>
      <c r="D9" s="1073"/>
      <c r="E9" s="1073"/>
      <c r="F9" s="1073"/>
      <c r="G9" s="1073"/>
      <c r="H9" s="1074"/>
      <c r="J9" s="723"/>
      <c r="K9" s="723"/>
      <c r="L9" s="723"/>
      <c r="M9" s="723"/>
      <c r="N9" s="723"/>
      <c r="O9" s="723"/>
      <c r="P9" s="724"/>
      <c r="Q9" s="724"/>
      <c r="R9" s="724"/>
      <c r="S9" s="724"/>
      <c r="T9" s="725"/>
      <c r="U9" s="725"/>
      <c r="V9" s="725"/>
      <c r="W9" s="140"/>
      <c r="X9" s="111"/>
      <c r="Y9" s="111"/>
      <c r="Z9" s="111"/>
    </row>
    <row r="10" spans="1:26" ht="7.5" customHeight="1" x14ac:dyDescent="0.2">
      <c r="A10" s="161"/>
      <c r="B10" s="726"/>
      <c r="C10" s="726"/>
      <c r="D10" s="726"/>
      <c r="E10" s="726"/>
      <c r="F10" s="726"/>
      <c r="G10" s="726"/>
      <c r="H10" s="727"/>
      <c r="J10" s="723"/>
      <c r="K10" s="723"/>
      <c r="L10" s="723"/>
      <c r="M10" s="723"/>
      <c r="N10" s="723"/>
      <c r="O10" s="723"/>
      <c r="P10" s="724"/>
      <c r="Q10" s="724"/>
      <c r="R10" s="724"/>
      <c r="S10" s="724"/>
      <c r="T10" s="725"/>
      <c r="U10" s="725"/>
      <c r="V10" s="725"/>
      <c r="W10" s="140"/>
      <c r="X10" s="111"/>
      <c r="Y10" s="111"/>
      <c r="Z10" s="111"/>
    </row>
    <row r="11" spans="1:26" ht="46.5" customHeight="1" x14ac:dyDescent="0.2">
      <c r="A11" s="1075" t="s">
        <v>88</v>
      </c>
      <c r="B11" s="1008"/>
      <c r="C11" s="1008"/>
      <c r="D11" s="1008"/>
      <c r="E11" s="1008"/>
      <c r="F11" s="1008"/>
      <c r="G11" s="1008"/>
      <c r="H11" s="1076"/>
      <c r="J11" s="723"/>
      <c r="K11" s="723"/>
      <c r="L11" s="723"/>
      <c r="M11" s="723"/>
      <c r="N11" s="723"/>
      <c r="O11" s="723"/>
      <c r="P11" s="724"/>
      <c r="Q11" s="724"/>
      <c r="R11" s="724"/>
      <c r="S11" s="724"/>
      <c r="T11" s="725"/>
      <c r="U11" s="725"/>
      <c r="V11" s="725"/>
      <c r="W11" s="140"/>
      <c r="X11" s="111"/>
      <c r="Y11" s="111"/>
      <c r="Z11" s="111"/>
    </row>
    <row r="12" spans="1:26" ht="7.5" customHeight="1" x14ac:dyDescent="0.2">
      <c r="A12" s="728"/>
      <c r="B12" s="699"/>
      <c r="C12" s="699"/>
      <c r="D12" s="699"/>
      <c r="E12" s="699"/>
      <c r="F12" s="699"/>
      <c r="G12" s="699"/>
      <c r="H12" s="729"/>
      <c r="J12" s="723"/>
      <c r="K12" s="723"/>
      <c r="L12" s="723"/>
      <c r="M12" s="723"/>
      <c r="N12" s="723"/>
      <c r="O12" s="723"/>
      <c r="P12" s="724"/>
      <c r="Q12" s="724"/>
      <c r="R12" s="724"/>
      <c r="S12" s="724"/>
      <c r="T12" s="725"/>
      <c r="U12" s="725"/>
      <c r="V12" s="725"/>
      <c r="W12" s="140"/>
      <c r="X12" s="111"/>
      <c r="Y12" s="111"/>
      <c r="Z12" s="111"/>
    </row>
    <row r="13" spans="1:26" ht="25.5" customHeight="1" x14ac:dyDescent="0.2">
      <c r="A13" s="1099" t="str">
        <f>IF(J14="ja","Vereinfachtes Verfahren für folgende System-Kombination:","")</f>
        <v/>
      </c>
      <c r="B13" s="1100"/>
      <c r="C13" s="1100"/>
      <c r="D13" s="1100"/>
      <c r="E13" s="1100"/>
      <c r="F13" s="1100"/>
      <c r="G13" s="1100"/>
      <c r="H13" s="1101"/>
      <c r="J13" s="723"/>
      <c r="K13" s="723"/>
      <c r="L13" s="723"/>
      <c r="M13" s="723"/>
      <c r="N13" s="723"/>
      <c r="O13" s="723"/>
      <c r="P13" s="724"/>
      <c r="Q13" s="724"/>
      <c r="R13" s="724"/>
      <c r="S13" s="724"/>
      <c r="T13" s="725"/>
      <c r="U13" s="725"/>
      <c r="V13" s="725"/>
      <c r="W13" s="140"/>
      <c r="X13" s="111"/>
      <c r="Y13" s="111"/>
      <c r="Z13" s="111"/>
    </row>
    <row r="14" spans="1:26" ht="21" customHeight="1" x14ac:dyDescent="0.2">
      <c r="A14" s="728"/>
      <c r="B14" s="1098" t="str">
        <f>IF(AND(J14="ja",Basisdaten!K54=TRUE),"Öl-Brennwertanlage",IF(AND(J14="ja",Basisdaten!L54=TRUE),"Gas-Brennwertanlage",IF(AND(J14="ja",Basisdaten!M54=TRUE),"Kohleheizung",IF(AND(J14="ja",Basisdaten!K55=TRUE),"Fernwärme (nicht erneuerbar)",IF(AND(J14="ja",Basisdaten!O54=TRUE),"Sonstiges Heizsystem",IF(AND(J14="ja",Basisdaten!N54=TRUE),"Stromheizung",""))))))</f>
        <v/>
      </c>
      <c r="C14" s="1098"/>
      <c r="D14" s="1098"/>
      <c r="E14" s="730" t="str">
        <f>IF(J14="ja","in Kombination mit","")</f>
        <v/>
      </c>
      <c r="F14" s="1102" t="str">
        <f>IF(AND(J14="ja",Basisdaten!K41=TRUE),"einer Pelletsheizung",IF(AND(J14="ja",Basisdaten!L41=TRUE),"einer Hackschnitzelheizung",IF(AND(J14="ja",Basisdaten!M41=TRUE),"einem Holzvergaser-Kessel",IF(AND(J14="ja",Basisdaten!N41=TRUE),"einer Ganzhausheizung mit Holz",IF(AND(J14="ja",OR(Basisdaten!K45,Basisdaten!L45,Basisdaten!M45,Basisdaten!N45=TRUE)),"einer Wärmepumpe",IF(AND(J14="ja",OR(Basisdaten!K48,Basisdaten!L48=TRUE)),"Fernwärme (erneuerbare Energiequelle)",IF(AND(J14="ja",OR(Basisdaten!K50,Basisdaten!L50,Basisdaten!M50=TRUE)),"Kraft-Wärme-Kopplung",IF(AND(J14="ja",OR(Basisdaten!K58,Basisdaten!L58,Basisdaten!M58=TRUE)),"einer Solaranlage",""))))))))</f>
        <v/>
      </c>
      <c r="G14" s="1102"/>
      <c r="H14" s="1103"/>
      <c r="J14" s="723" t="str">
        <f>Basisdaten!K73</f>
        <v xml:space="preserve"> </v>
      </c>
      <c r="K14" s="723"/>
      <c r="L14" s="723"/>
      <c r="M14" s="723"/>
      <c r="N14" s="723"/>
      <c r="O14" s="723"/>
      <c r="P14" s="724"/>
      <c r="Q14" s="724"/>
      <c r="R14" s="724"/>
      <c r="S14" s="724"/>
      <c r="T14" s="725"/>
      <c r="U14" s="725"/>
      <c r="V14" s="725"/>
      <c r="W14" s="140"/>
      <c r="X14" s="111"/>
      <c r="Y14" s="111"/>
      <c r="Z14" s="111"/>
    </row>
    <row r="15" spans="1:26" ht="13.5" customHeight="1" x14ac:dyDescent="0.2">
      <c r="A15" s="728"/>
      <c r="B15" s="699"/>
      <c r="C15" s="699"/>
      <c r="D15" s="699"/>
      <c r="E15" s="699"/>
      <c r="F15" s="699"/>
      <c r="G15" s="699"/>
      <c r="H15" s="729"/>
      <c r="J15" s="723"/>
      <c r="K15" s="723"/>
      <c r="L15" s="723"/>
      <c r="M15" s="723"/>
      <c r="N15" s="723"/>
      <c r="O15" s="723"/>
      <c r="P15" s="724"/>
      <c r="Q15" s="724"/>
      <c r="R15" s="724"/>
      <c r="S15" s="724"/>
      <c r="T15" s="725"/>
      <c r="U15" s="725"/>
      <c r="V15" s="725"/>
      <c r="W15" s="140"/>
      <c r="X15" s="111"/>
      <c r="Y15" s="111"/>
      <c r="Z15" s="111"/>
    </row>
    <row r="16" spans="1:26" ht="10.5" customHeight="1" x14ac:dyDescent="0.2">
      <c r="A16" s="161"/>
      <c r="B16" s="726"/>
      <c r="C16" s="726"/>
      <c r="D16" s="726"/>
      <c r="E16" s="731" t="str">
        <f>IF(J14="ja","Anforderung NP 2020","")</f>
        <v/>
      </c>
      <c r="F16" s="731" t="str">
        <f>IF(J14="ja","IST-Wert","")</f>
        <v/>
      </c>
      <c r="G16" s="726"/>
      <c r="H16" s="727"/>
      <c r="J16" s="723"/>
      <c r="K16" s="723"/>
      <c r="L16" s="723"/>
      <c r="M16" s="723"/>
      <c r="P16" s="723"/>
      <c r="Q16" s="724"/>
      <c r="R16" s="724"/>
      <c r="S16" s="724"/>
      <c r="T16" s="725"/>
      <c r="U16" s="725"/>
      <c r="V16" s="725"/>
      <c r="W16" s="140"/>
      <c r="X16" s="111"/>
      <c r="Y16" s="111"/>
      <c r="Z16" s="111"/>
    </row>
    <row r="17" spans="1:26" ht="16.5" customHeight="1" x14ac:dyDescent="0.2">
      <c r="A17" s="161"/>
      <c r="B17" s="48"/>
      <c r="C17" s="48"/>
      <c r="D17" s="698" t="str">
        <f>IF(J14="ja","Primärenergiebedarf:","")</f>
        <v/>
      </c>
      <c r="E17" s="732" t="str">
        <f>IF(J14="ja",160," ")</f>
        <v xml:space="preserve"> </v>
      </c>
      <c r="F17" s="733" t="str">
        <f>IF(J14="ja",Basisdaten!G29," ")</f>
        <v xml:space="preserve"> </v>
      </c>
      <c r="G17" s="734" t="s">
        <v>94</v>
      </c>
      <c r="H17" s="92"/>
      <c r="J17" s="723"/>
      <c r="K17" s="723"/>
      <c r="L17" s="735"/>
      <c r="M17" s="723"/>
      <c r="N17" s="736"/>
      <c r="O17" s="736"/>
      <c r="P17" s="724"/>
      <c r="Q17" s="737"/>
      <c r="R17" s="724"/>
      <c r="S17" s="724"/>
      <c r="T17" s="725"/>
      <c r="U17" s="725"/>
      <c r="V17" s="725"/>
      <c r="W17" s="140"/>
      <c r="X17" s="111"/>
      <c r="Y17" s="111"/>
      <c r="Z17" s="111"/>
    </row>
    <row r="18" spans="1:26" ht="16.5" customHeight="1" x14ac:dyDescent="0.35">
      <c r="A18" s="738" t="s">
        <v>157</v>
      </c>
      <c r="B18" s="739"/>
      <c r="C18" s="48"/>
      <c r="D18" s="698" t="str">
        <f>IF(J14="ja","       Kohlendioxidemissionen:","")</f>
        <v/>
      </c>
      <c r="E18" s="740" t="str">
        <f>IF(J14="ja",24," ")</f>
        <v xml:space="preserve"> </v>
      </c>
      <c r="F18" s="741" t="str">
        <f>IF(J14="ja",Basisdaten!G31," ")</f>
        <v xml:space="preserve"> </v>
      </c>
      <c r="G18" s="734" t="s">
        <v>95</v>
      </c>
      <c r="H18" s="92"/>
      <c r="J18" s="723"/>
      <c r="K18" s="723"/>
      <c r="L18" s="723"/>
      <c r="M18" s="723"/>
      <c r="N18" s="742"/>
      <c r="O18" s="743"/>
      <c r="P18" s="724"/>
      <c r="Q18" s="724"/>
      <c r="R18" s="724"/>
      <c r="S18" s="724"/>
      <c r="T18" s="725"/>
      <c r="U18" s="725"/>
      <c r="V18" s="725"/>
      <c r="W18" s="140"/>
      <c r="X18" s="111"/>
      <c r="Y18" s="111"/>
      <c r="Z18" s="111"/>
    </row>
    <row r="19" spans="1:26" ht="16.5" customHeight="1" x14ac:dyDescent="0.2">
      <c r="A19" s="744" t="str">
        <f>IF(AND(Basisdaten!K73="ja",Basisdaten!M33="ja"),Basisdaten!G37,IF(AND(Basisdaten!K73="ja",Basisdaten!M33="nein"),0.75,""))</f>
        <v/>
      </c>
      <c r="B19" s="745" t="str">
        <f>IF(AND(Basisdaten!L73="ja",Basisdaten!M33="ja"),Basisdaten!D37,IF(AND(Basisdaten!L73="ja",Basisdaten!M33="nein"),Basisdaten!G33,""))</f>
        <v/>
      </c>
      <c r="C19" s="48"/>
      <c r="D19" s="698" t="str">
        <f>IF(AND(J14="ja",Basisdaten!M33="ja"),"Endenergiebedarf:",IF(AND(J14="ja",Basisdaten!M33="nein"),"          Gesamtenergieeffizienz-Faktor:",""))</f>
        <v/>
      </c>
      <c r="E19" s="746" t="str">
        <f>IF(AND(J14="ja",Basisdaten!M33="ja"),CONCATENATE(Basisdaten!G37,Basisdaten!K37),IF(AND(J14="ja",Basisdaten!M33="nein"),0.75,""))</f>
        <v/>
      </c>
      <c r="F19" s="746" t="str">
        <f>IF(AND(Basisdaten!L73="ja",Basisdaten!M33="ja"),CONCATENATE(Basisdaten!D37,Basisdaten!K37),IF(AND(Basisdaten!L73="ja",Basisdaten!M33="nein"),Basisdaten!G33,""))</f>
        <v/>
      </c>
      <c r="G19" s="734" t="str">
        <f>IF(Basisdaten!M33="ja","EEB",IF(Basisdaten!M33="nein","fGEE",""))</f>
        <v>fGEE</v>
      </c>
      <c r="H19" s="92"/>
      <c r="J19" s="723"/>
      <c r="K19" s="723"/>
      <c r="L19" s="723"/>
      <c r="M19" s="723"/>
      <c r="N19" s="723"/>
      <c r="O19" s="723"/>
      <c r="P19" s="724"/>
      <c r="Q19" s="724"/>
      <c r="R19" s="724"/>
      <c r="S19" s="724"/>
      <c r="T19" s="725"/>
      <c r="U19" s="725"/>
      <c r="V19" s="725"/>
      <c r="W19" s="140"/>
      <c r="X19" s="111"/>
      <c r="Y19" s="111"/>
      <c r="Z19" s="111"/>
    </row>
    <row r="20" spans="1:26" ht="32.25" customHeight="1" x14ac:dyDescent="0.2">
      <c r="A20" s="161"/>
      <c r="B20" s="48"/>
      <c r="C20" s="48"/>
      <c r="D20" s="698"/>
      <c r="E20" s="747"/>
      <c r="F20" s="747"/>
      <c r="G20" s="734"/>
      <c r="H20" s="92"/>
      <c r="J20" s="723"/>
      <c r="K20" s="723"/>
      <c r="L20" s="723"/>
      <c r="M20" s="723"/>
      <c r="N20" s="723"/>
      <c r="O20" s="723"/>
      <c r="P20" s="724"/>
      <c r="Q20" s="724"/>
      <c r="R20" s="724"/>
      <c r="S20" s="724"/>
      <c r="T20" s="725"/>
      <c r="U20" s="725"/>
      <c r="V20" s="725"/>
      <c r="W20" s="140"/>
      <c r="X20" s="111"/>
      <c r="Y20" s="111"/>
      <c r="Z20" s="111"/>
    </row>
    <row r="21" spans="1:26" ht="16.5" customHeight="1" x14ac:dyDescent="0.2">
      <c r="A21" s="161"/>
      <c r="B21" s="993" t="str">
        <f>D17</f>
        <v/>
      </c>
      <c r="C21" s="993"/>
      <c r="D21" s="993"/>
      <c r="E21" s="748" t="str">
        <f>D18</f>
        <v/>
      </c>
      <c r="F21" s="748"/>
      <c r="G21" s="749" t="str">
        <f>D19</f>
        <v/>
      </c>
      <c r="H21" s="750"/>
      <c r="I21" s="286"/>
      <c r="J21" s="723"/>
      <c r="K21" s="742"/>
      <c r="L21" s="751"/>
      <c r="M21" s="723"/>
      <c r="N21" s="723"/>
      <c r="O21" s="723"/>
      <c r="P21" s="724"/>
      <c r="Q21" s="724"/>
      <c r="R21" s="724"/>
      <c r="S21" s="724"/>
      <c r="T21" s="725"/>
      <c r="U21" s="725"/>
      <c r="V21" s="725"/>
      <c r="W21" s="140"/>
      <c r="X21" s="111"/>
      <c r="Y21" s="111"/>
      <c r="Z21" s="111"/>
    </row>
    <row r="22" spans="1:26" ht="27.75" customHeight="1" x14ac:dyDescent="0.2">
      <c r="A22" s="161"/>
      <c r="B22" s="1077"/>
      <c r="C22" s="1077"/>
      <c r="D22" s="1077"/>
      <c r="E22" s="1077"/>
      <c r="F22" s="1077"/>
      <c r="G22" s="1077"/>
      <c r="H22" s="1078"/>
      <c r="J22" s="723"/>
      <c r="K22" s="723"/>
      <c r="L22" s="723"/>
      <c r="M22" s="723"/>
      <c r="N22" s="723"/>
      <c r="O22" s="723"/>
      <c r="P22" s="724"/>
      <c r="Q22" s="724"/>
      <c r="R22" s="724"/>
      <c r="S22" s="724"/>
      <c r="T22" s="725"/>
      <c r="U22" s="725"/>
      <c r="V22" s="725"/>
      <c r="W22" s="140"/>
      <c r="X22" s="111"/>
      <c r="Y22" s="111"/>
      <c r="Z22" s="111"/>
    </row>
    <row r="23" spans="1:26" ht="27.75" customHeight="1" x14ac:dyDescent="0.2">
      <c r="A23" s="161"/>
      <c r="B23" s="752"/>
      <c r="C23" s="752"/>
      <c r="D23" s="752"/>
      <c r="E23" s="752"/>
      <c r="F23" s="752"/>
      <c r="G23" s="752"/>
      <c r="H23" s="753"/>
      <c r="J23" s="723"/>
      <c r="K23" s="723"/>
      <c r="L23" s="723"/>
      <c r="M23" s="723"/>
      <c r="N23" s="723"/>
      <c r="O23" s="723"/>
      <c r="P23" s="724"/>
      <c r="Q23" s="724"/>
      <c r="R23" s="724"/>
      <c r="S23" s="724"/>
      <c r="T23" s="725"/>
      <c r="U23" s="725"/>
      <c r="V23" s="725"/>
      <c r="W23" s="140"/>
      <c r="X23" s="111"/>
      <c r="Y23" s="111"/>
      <c r="Z23" s="111"/>
    </row>
    <row r="24" spans="1:26" ht="27.75" customHeight="1" x14ac:dyDescent="0.2">
      <c r="A24" s="161"/>
      <c r="B24" s="752"/>
      <c r="C24" s="752"/>
      <c r="D24" s="752"/>
      <c r="E24" s="752"/>
      <c r="F24" s="752"/>
      <c r="G24" s="752"/>
      <c r="H24" s="753"/>
      <c r="J24" s="723"/>
      <c r="K24" s="723"/>
      <c r="L24" s="723"/>
      <c r="M24" s="723"/>
      <c r="N24" s="723"/>
      <c r="O24" s="723"/>
      <c r="P24" s="724"/>
      <c r="Q24" s="724"/>
      <c r="R24" s="724"/>
      <c r="S24" s="724"/>
      <c r="T24" s="725"/>
      <c r="U24" s="725"/>
      <c r="V24" s="725"/>
      <c r="W24" s="140"/>
      <c r="X24" s="111"/>
      <c r="Y24" s="111"/>
      <c r="Z24" s="111"/>
    </row>
    <row r="25" spans="1:26" ht="27.75" customHeight="1" x14ac:dyDescent="0.2">
      <c r="A25" s="161"/>
      <c r="B25" s="752"/>
      <c r="C25" s="752"/>
      <c r="D25" s="752"/>
      <c r="E25" s="752"/>
      <c r="F25" s="752"/>
      <c r="G25" s="752"/>
      <c r="H25" s="753"/>
      <c r="J25" s="723"/>
      <c r="K25" s="723"/>
      <c r="L25" s="723"/>
      <c r="M25" s="723"/>
      <c r="N25" s="723"/>
      <c r="O25" s="723"/>
      <c r="P25" s="724"/>
      <c r="Q25" s="724"/>
      <c r="R25" s="724"/>
      <c r="S25" s="724"/>
      <c r="T25" s="725"/>
      <c r="U25" s="725"/>
      <c r="V25" s="725"/>
      <c r="W25" s="140"/>
      <c r="X25" s="111"/>
      <c r="Y25" s="111"/>
      <c r="Z25" s="111"/>
    </row>
    <row r="26" spans="1:26" ht="27.75" customHeight="1" x14ac:dyDescent="0.2">
      <c r="A26" s="161"/>
      <c r="B26" s="752"/>
      <c r="C26" s="752"/>
      <c r="D26" s="752"/>
      <c r="E26" s="752"/>
      <c r="F26" s="752"/>
      <c r="G26" s="752"/>
      <c r="H26" s="753"/>
      <c r="J26" s="723"/>
      <c r="K26" s="723"/>
      <c r="L26" s="723"/>
      <c r="M26" s="723"/>
      <c r="N26" s="723"/>
      <c r="O26" s="723"/>
      <c r="P26" s="724"/>
      <c r="Q26" s="724"/>
      <c r="R26" s="724"/>
      <c r="S26" s="724"/>
      <c r="T26" s="725"/>
      <c r="U26" s="725"/>
      <c r="V26" s="725"/>
      <c r="W26" s="140"/>
      <c r="X26" s="111"/>
      <c r="Y26" s="111"/>
      <c r="Z26" s="111"/>
    </row>
    <row r="27" spans="1:26" ht="27.75" customHeight="1" x14ac:dyDescent="0.2">
      <c r="A27" s="161"/>
      <c r="B27" s="752"/>
      <c r="C27" s="752"/>
      <c r="D27" s="752"/>
      <c r="E27" s="752"/>
      <c r="F27" s="752"/>
      <c r="G27" s="752"/>
      <c r="H27" s="753"/>
      <c r="J27" s="723"/>
      <c r="K27" s="723"/>
      <c r="L27" s="723"/>
      <c r="M27" s="723"/>
      <c r="N27" s="723"/>
      <c r="O27" s="723"/>
      <c r="P27" s="724"/>
      <c r="Q27" s="724"/>
      <c r="R27" s="724"/>
      <c r="S27" s="724"/>
      <c r="T27" s="725"/>
      <c r="U27" s="725"/>
      <c r="V27" s="725"/>
      <c r="W27" s="140"/>
      <c r="X27" s="111"/>
      <c r="Y27" s="111"/>
      <c r="Z27" s="111"/>
    </row>
    <row r="28" spans="1:26" ht="16.5" customHeight="1" x14ac:dyDescent="0.2">
      <c r="A28" s="161"/>
      <c r="B28" s="752"/>
      <c r="C28" s="752"/>
      <c r="D28" s="752"/>
      <c r="E28" s="752"/>
      <c r="F28" s="752"/>
      <c r="G28" s="752"/>
      <c r="H28" s="753"/>
      <c r="J28" s="723"/>
      <c r="K28" s="723"/>
      <c r="L28" s="723"/>
      <c r="M28" s="723"/>
      <c r="N28" s="723"/>
      <c r="O28" s="723"/>
      <c r="P28" s="724"/>
      <c r="Q28" s="724"/>
      <c r="R28" s="724"/>
      <c r="S28" s="724"/>
      <c r="T28" s="725"/>
      <c r="U28" s="725"/>
      <c r="V28" s="725"/>
      <c r="W28" s="140"/>
      <c r="X28" s="111"/>
      <c r="Y28" s="111"/>
      <c r="Z28" s="111"/>
    </row>
    <row r="29" spans="1:26" ht="16.5" customHeight="1" x14ac:dyDescent="0.2">
      <c r="A29" s="161"/>
      <c r="B29" s="752"/>
      <c r="C29" s="752"/>
      <c r="D29" s="752"/>
      <c r="E29" s="752"/>
      <c r="F29" s="752"/>
      <c r="G29" s="752"/>
      <c r="H29" s="753"/>
      <c r="J29" s="723"/>
      <c r="K29" s="723"/>
      <c r="L29" s="723"/>
      <c r="M29" s="723"/>
      <c r="N29" s="723"/>
      <c r="O29" s="723"/>
      <c r="P29" s="724"/>
      <c r="Q29" s="724"/>
      <c r="R29" s="724"/>
      <c r="S29" s="724"/>
      <c r="T29" s="725"/>
      <c r="U29" s="725"/>
      <c r="V29" s="725"/>
      <c r="W29" s="140"/>
      <c r="X29" s="111"/>
      <c r="Y29" s="111"/>
      <c r="Z29" s="111"/>
    </row>
    <row r="30" spans="1:26" ht="18.75" customHeight="1" x14ac:dyDescent="0.2">
      <c r="A30" s="161"/>
      <c r="B30" s="48"/>
      <c r="C30" s="48"/>
      <c r="D30" s="48"/>
      <c r="E30" s="48"/>
      <c r="F30" s="48"/>
      <c r="G30" s="48"/>
      <c r="H30" s="92"/>
      <c r="J30" s="723"/>
      <c r="K30" s="723"/>
      <c r="L30" s="723"/>
      <c r="M30" s="723"/>
      <c r="N30" s="723"/>
      <c r="O30" s="723"/>
      <c r="P30" s="724"/>
      <c r="Q30" s="724"/>
      <c r="R30" s="724"/>
      <c r="S30" s="724"/>
      <c r="T30" s="725"/>
      <c r="U30" s="725"/>
      <c r="V30" s="725"/>
      <c r="W30" s="140"/>
      <c r="X30" s="111"/>
      <c r="Y30" s="111"/>
      <c r="Z30" s="111"/>
    </row>
    <row r="31" spans="1:26" ht="21" customHeight="1" x14ac:dyDescent="0.25">
      <c r="A31" s="161"/>
      <c r="B31" s="1079" t="str">
        <f>IF(F17&gt;E17,"Primärenergiebedarf zu hoch!",IF(F18&gt;E18,"Kohlendioxidemissionen zu hoch!",IF(AND(Basisdaten!O72=1,B19&gt;A19),"Gesamtenergieeffizienz-Faktor zu hoch!",IF(AND(Basisdaten!O72=2,B19&gt;A19),"Endenergiebedarf zu hoch!",IF(AND(F17&lt;=E17,F18&lt;=E18,B19&lt;A19,F17&gt;0,F18&gt;0,B19&gt;0),"Alle Grenzwerte eingehalten! Keine weitere Alternativenprüfung notwendig!",IF(OR(F17=0,F18=0,B19=0),"Bitte tragen Sie alle Kennzahlen aus dem Energieausweis in die grünen Felder ein."," "))))))</f>
        <v xml:space="preserve"> </v>
      </c>
      <c r="C31" s="1079"/>
      <c r="D31" s="1079"/>
      <c r="E31" s="1079"/>
      <c r="F31" s="1079"/>
      <c r="G31" s="1079"/>
      <c r="H31" s="1080"/>
      <c r="J31" s="723" t="str">
        <f>IF(F17&gt;E17,"Primärenergiebedarf zu hoch!",IF(F18&gt;E18,"Kohlendioxidemissionen zu hoch!",IF(AND(Basisdaten!O72=1,B19&gt;A19),"Gesamtenergieeffizienz-Faktor zu hoch!",IF(AND(Basisdaten!O72=2,B19&gt;A19),"Endenergiebedarf zu hoch!",IF(AND(F17&lt;=E17,F18&lt;=E18,B19&lt;A19,F17&gt;0,F18&gt;0,B19&gt;0),"nein",IF(OR(F17=0,F18=0,B19=0),"Bitte tragen Sie alle Kennzahlen aus dem Energieausweis in die grünen Felder ein."," "))))))</f>
        <v xml:space="preserve"> </v>
      </c>
      <c r="K31" s="723"/>
      <c r="L31" s="723"/>
      <c r="M31" s="723"/>
      <c r="N31" s="723"/>
      <c r="O31" s="723"/>
      <c r="P31" s="724"/>
      <c r="Q31" s="724"/>
      <c r="R31" s="724"/>
      <c r="S31" s="724"/>
      <c r="T31" s="725"/>
      <c r="U31" s="725"/>
      <c r="V31" s="725"/>
      <c r="W31" s="140"/>
      <c r="X31" s="111"/>
      <c r="Y31" s="111"/>
      <c r="Z31" s="111"/>
    </row>
    <row r="32" spans="1:26" ht="27" customHeight="1" x14ac:dyDescent="0.2">
      <c r="A32" s="1081" t="str">
        <f>IF(OR(F17&gt;E17,F18&gt;E18,AND(Basisdaten!O72=1,B19&gt;A19),AND(Basisdaten!O72=2,B19&gt;A19)),"Verbessern Sie die Gebäudequalität (z.B. durch mehr Wärmedämmung oder bessere Fenster). 
Alternativ weiter zu Tabellenblatt Alternativenprüfung!"," ")</f>
        <v xml:space="preserve"> </v>
      </c>
      <c r="B32" s="1082"/>
      <c r="C32" s="1082"/>
      <c r="D32" s="1082"/>
      <c r="E32" s="1082"/>
      <c r="F32" s="1082"/>
      <c r="G32" s="1082"/>
      <c r="H32" s="1083"/>
      <c r="J32" s="723"/>
      <c r="K32" s="723"/>
      <c r="L32" s="723"/>
      <c r="M32" s="723"/>
      <c r="N32" s="723"/>
      <c r="O32" s="723"/>
      <c r="P32" s="724"/>
      <c r="Q32" s="724"/>
      <c r="R32" s="724"/>
      <c r="S32" s="724"/>
      <c r="T32" s="725"/>
      <c r="U32" s="725"/>
      <c r="V32" s="725"/>
      <c r="W32" s="140"/>
      <c r="X32" s="111"/>
      <c r="Y32" s="111"/>
      <c r="Z32" s="111"/>
    </row>
    <row r="33" spans="1:26" ht="12.75" customHeight="1" x14ac:dyDescent="0.2">
      <c r="A33" s="754"/>
      <c r="B33" s="755"/>
      <c r="C33" s="755"/>
      <c r="D33" s="755"/>
      <c r="E33" s="755"/>
      <c r="F33" s="755"/>
      <c r="G33" s="755"/>
      <c r="H33" s="756"/>
      <c r="J33" s="838" t="s">
        <v>383</v>
      </c>
      <c r="K33" s="999" t="s">
        <v>271</v>
      </c>
      <c r="L33" s="999"/>
      <c r="M33" s="999"/>
      <c r="N33" s="999"/>
      <c r="O33" s="999"/>
      <c r="P33" s="999"/>
      <c r="Q33" s="999"/>
      <c r="R33" s="724"/>
      <c r="S33" s="724"/>
      <c r="T33" s="725"/>
      <c r="U33" s="725"/>
      <c r="V33" s="725"/>
      <c r="W33" s="140"/>
      <c r="X33" s="111"/>
      <c r="Y33" s="111"/>
      <c r="Z33" s="111"/>
    </row>
    <row r="34" spans="1:26" ht="24" customHeight="1" x14ac:dyDescent="0.2">
      <c r="A34" s="757" t="s">
        <v>82</v>
      </c>
      <c r="B34" s="1090" t="s">
        <v>266</v>
      </c>
      <c r="C34" s="1091"/>
      <c r="D34" s="1091"/>
      <c r="E34" s="1091"/>
      <c r="F34" s="1091"/>
      <c r="G34" s="1091"/>
      <c r="H34" s="1092"/>
      <c r="J34" s="844">
        <v>1</v>
      </c>
      <c r="K34" s="719" t="s">
        <v>272</v>
      </c>
      <c r="R34" s="724"/>
      <c r="S34" s="724"/>
      <c r="T34" s="725"/>
      <c r="U34" s="725"/>
      <c r="V34" s="725"/>
      <c r="W34" s="140"/>
      <c r="X34" s="111"/>
      <c r="Y34" s="111"/>
      <c r="Z34" s="111"/>
    </row>
    <row r="35" spans="1:26" ht="18" customHeight="1" x14ac:dyDescent="0.2">
      <c r="A35" s="1087" t="str">
        <f>IF(OR(F17&gt;E17,F18&gt;E18,AND(Basisdaten!O72=1,B19&gt;A19),AND(Basisdaten!O72=2,B19&gt;A19)),"Variante 1 - Optimierung der Gebäudequalität",IF(J31="nein","Fertigstellung"," "))</f>
        <v xml:space="preserve"> </v>
      </c>
      <c r="B35" s="1088"/>
      <c r="C35" s="1088"/>
      <c r="D35" s="1088"/>
      <c r="E35" s="1088"/>
      <c r="F35" s="1088"/>
      <c r="G35" s="1088"/>
      <c r="H35" s="1089"/>
      <c r="J35" s="723"/>
      <c r="K35" s="702"/>
      <c r="L35" s="702"/>
      <c r="M35" s="702"/>
      <c r="N35" s="702"/>
      <c r="O35" s="702"/>
      <c r="P35" s="702"/>
      <c r="Q35" s="702"/>
      <c r="R35" s="724"/>
      <c r="S35" s="724"/>
      <c r="T35" s="725"/>
      <c r="U35" s="725"/>
      <c r="V35" s="725"/>
      <c r="W35" s="140"/>
      <c r="X35" s="111"/>
      <c r="Y35" s="111"/>
      <c r="Z35" s="111"/>
    </row>
    <row r="36" spans="1:26" ht="33.75" customHeight="1" x14ac:dyDescent="0.2">
      <c r="A36" s="758"/>
      <c r="B36" s="1008" t="str">
        <f>IF(OR(F17&gt;E17,F18&gt;E18,AND(Basisdaten!O72=1,B19&gt;A19),AND(Basisdaten!O72=2,B19&gt;A19)),K36,IF(J31="nein",K33," "))</f>
        <v xml:space="preserve"> </v>
      </c>
      <c r="C36" s="1008"/>
      <c r="D36" s="1008"/>
      <c r="E36" s="1008"/>
      <c r="F36" s="1008"/>
      <c r="G36" s="1008"/>
      <c r="H36" s="1076"/>
      <c r="J36" s="723"/>
      <c r="K36" s="999" t="s">
        <v>269</v>
      </c>
      <c r="L36" s="999"/>
      <c r="M36" s="999"/>
      <c r="N36" s="999"/>
      <c r="O36" s="999"/>
      <c r="P36" s="999"/>
      <c r="Q36" s="999"/>
      <c r="R36" s="724"/>
      <c r="S36" s="724"/>
      <c r="T36" s="725"/>
      <c r="U36" s="725"/>
      <c r="V36" s="725"/>
      <c r="W36" s="140"/>
      <c r="X36" s="111"/>
      <c r="Y36" s="111"/>
      <c r="Z36" s="111"/>
    </row>
    <row r="37" spans="1:26" ht="18" customHeight="1" x14ac:dyDescent="0.2">
      <c r="A37" s="759"/>
      <c r="B37" s="1069" t="str">
        <f>IF(OR(F17&gt;E17,F18&gt;E18,AND(Basisdaten!O72=1,B19&gt;A19),AND(Basisdaten!O72=2,B19&gt;A19)),K37," ")</f>
        <v xml:space="preserve"> </v>
      </c>
      <c r="C37" s="1069"/>
      <c r="D37" s="1069"/>
      <c r="E37" s="1069"/>
      <c r="F37" s="1069"/>
      <c r="G37" s="1069"/>
      <c r="H37" s="1070"/>
      <c r="J37" s="723"/>
      <c r="K37" s="1071" t="s">
        <v>268</v>
      </c>
      <c r="L37" s="1071"/>
      <c r="M37" s="1071"/>
      <c r="N37" s="1071"/>
      <c r="O37" s="1071"/>
      <c r="P37" s="1071"/>
      <c r="Q37" s="1071"/>
      <c r="R37" s="724"/>
      <c r="S37" s="724"/>
      <c r="T37" s="725"/>
      <c r="U37" s="725"/>
      <c r="V37" s="725"/>
      <c r="W37" s="140"/>
      <c r="X37" s="111"/>
      <c r="Y37" s="111"/>
      <c r="Z37" s="111"/>
    </row>
    <row r="38" spans="1:26" ht="35.25" customHeight="1" x14ac:dyDescent="0.2">
      <c r="A38" s="759"/>
      <c r="B38" s="1069" t="str">
        <f>IF(OR(F17&gt;E17,F18&gt;E18,AND(Basisdaten!O72=1,B19&gt;A19),AND(Basisdaten!O72=2,B19&gt;A19)),K38,IF(J31="nein",K34," "))</f>
        <v xml:space="preserve"> </v>
      </c>
      <c r="C38" s="1069"/>
      <c r="D38" s="1069"/>
      <c r="E38" s="1069"/>
      <c r="F38" s="1069"/>
      <c r="G38" s="1069"/>
      <c r="H38" s="1070"/>
      <c r="K38" s="999" t="s">
        <v>270</v>
      </c>
      <c r="L38" s="999"/>
      <c r="M38" s="999"/>
      <c r="N38" s="999"/>
      <c r="O38" s="999"/>
      <c r="P38" s="999"/>
      <c r="Q38" s="999"/>
      <c r="T38" s="111"/>
      <c r="U38" s="111"/>
      <c r="V38" s="111"/>
      <c r="W38" s="111"/>
      <c r="X38" s="111"/>
      <c r="Y38" s="111"/>
      <c r="Z38" s="111"/>
    </row>
    <row r="39" spans="1:26" ht="7.5" customHeight="1" x14ac:dyDescent="0.2">
      <c r="A39" s="760"/>
      <c r="B39" s="761"/>
      <c r="C39" s="761"/>
      <c r="D39" s="761"/>
      <c r="E39" s="761"/>
      <c r="F39" s="761"/>
      <c r="G39" s="761"/>
      <c r="H39" s="762"/>
      <c r="K39" s="701"/>
      <c r="L39" s="701"/>
      <c r="M39" s="701"/>
      <c r="N39" s="701"/>
      <c r="O39" s="701"/>
      <c r="P39" s="701"/>
      <c r="Q39" s="701"/>
      <c r="T39" s="111"/>
      <c r="U39" s="111"/>
      <c r="V39" s="111"/>
      <c r="W39" s="111"/>
      <c r="X39" s="111"/>
      <c r="Y39" s="111"/>
      <c r="Z39" s="111"/>
    </row>
    <row r="40" spans="1:26" ht="18" customHeight="1" x14ac:dyDescent="0.2">
      <c r="A40" s="1066" t="str">
        <f>IF(OR(F17&gt;E17,F18&gt;E18,AND(Basisdaten!O72=1,B19&gt;A19),AND(Basisdaten!O72=2,B19&gt;A19)),"Variante 2 - Alternativenprüfung"," ")</f>
        <v xml:space="preserve"> </v>
      </c>
      <c r="B40" s="1067"/>
      <c r="C40" s="1067"/>
      <c r="D40" s="1067"/>
      <c r="E40" s="1067"/>
      <c r="F40" s="1067"/>
      <c r="G40" s="1067"/>
      <c r="H40" s="1068"/>
      <c r="K40" s="701"/>
      <c r="L40" s="701"/>
      <c r="M40" s="701"/>
      <c r="N40" s="701"/>
      <c r="O40" s="701"/>
      <c r="P40" s="701"/>
      <c r="Q40" s="701"/>
      <c r="T40" s="111"/>
      <c r="U40" s="111"/>
      <c r="V40" s="111"/>
      <c r="W40" s="111"/>
      <c r="X40" s="111"/>
      <c r="Y40" s="111"/>
      <c r="Z40" s="111"/>
    </row>
    <row r="41" spans="1:26" ht="29.25" customHeight="1" x14ac:dyDescent="0.2">
      <c r="A41" s="759"/>
      <c r="B41" s="1069" t="str">
        <f>IF(OR(F17&gt;E17,F18&gt;E18,AND(Basisdaten!O72=1,B19&gt;A19),AND(Basisdaten!O72=2,B19&gt;A19)),K41," ")</f>
        <v xml:space="preserve"> </v>
      </c>
      <c r="C41" s="1069"/>
      <c r="D41" s="1069"/>
      <c r="E41" s="1069"/>
      <c r="F41" s="1069"/>
      <c r="G41" s="1069"/>
      <c r="H41" s="1070"/>
      <c r="K41" s="999" t="s">
        <v>273</v>
      </c>
      <c r="L41" s="999"/>
      <c r="M41" s="999"/>
      <c r="N41" s="999"/>
      <c r="O41" s="999"/>
      <c r="P41" s="999"/>
      <c r="Q41" s="999"/>
      <c r="T41" s="111"/>
      <c r="U41" s="111"/>
      <c r="V41" s="111"/>
      <c r="W41" s="111"/>
      <c r="X41" s="111"/>
      <c r="Y41" s="111"/>
      <c r="Z41" s="111"/>
    </row>
    <row r="42" spans="1:26" ht="9.75" customHeight="1" x14ac:dyDescent="0.2">
      <c r="A42" s="1084"/>
      <c r="B42" s="1085"/>
      <c r="C42" s="1085"/>
      <c r="D42" s="1085"/>
      <c r="E42" s="1085"/>
      <c r="F42" s="1085"/>
      <c r="G42" s="1085"/>
      <c r="H42" s="1086"/>
      <c r="K42" s="93"/>
      <c r="T42" s="111"/>
      <c r="U42" s="111"/>
      <c r="V42" s="111"/>
      <c r="W42" s="111"/>
      <c r="X42" s="111"/>
      <c r="Y42" s="111"/>
      <c r="Z42" s="111"/>
    </row>
    <row r="43" spans="1:26" ht="5.25" customHeight="1" x14ac:dyDescent="0.2">
      <c r="A43" s="703"/>
      <c r="B43" s="532"/>
      <c r="C43" s="532"/>
      <c r="D43" s="48"/>
      <c r="E43" s="48"/>
      <c r="F43" s="48"/>
      <c r="G43" s="48"/>
      <c r="H43" s="48"/>
      <c r="K43" s="763"/>
      <c r="T43" s="140"/>
      <c r="U43" s="140"/>
      <c r="V43" s="140"/>
      <c r="W43" s="140"/>
      <c r="X43" s="111"/>
      <c r="Y43" s="111"/>
      <c r="Z43" s="111"/>
    </row>
    <row r="44" spans="1:26" ht="14.25" customHeight="1" x14ac:dyDescent="0.2">
      <c r="A44" s="161"/>
      <c r="B44" s="47"/>
      <c r="C44" s="47"/>
      <c r="D44" s="48"/>
      <c r="E44" s="48"/>
      <c r="F44" s="48"/>
      <c r="G44" s="48"/>
      <c r="H44" s="48"/>
    </row>
    <row r="45" spans="1:26" ht="28.5" customHeight="1" x14ac:dyDescent="0.2">
      <c r="A45" s="161"/>
      <c r="B45" s="999"/>
      <c r="C45" s="999"/>
      <c r="D45" s="999"/>
      <c r="E45" s="999"/>
      <c r="F45" s="999"/>
      <c r="G45" s="700"/>
      <c r="H45" s="49"/>
    </row>
    <row r="46" spans="1:26" ht="37.5" customHeight="1" x14ac:dyDescent="0.2">
      <c r="A46" s="161"/>
      <c r="B46" s="997"/>
      <c r="C46" s="997"/>
      <c r="D46" s="998"/>
      <c r="E46" s="998"/>
      <c r="F46" s="998"/>
      <c r="G46" s="48"/>
      <c r="H46" s="48"/>
    </row>
    <row r="47" spans="1:26" ht="13.5" customHeight="1" x14ac:dyDescent="0.2">
      <c r="A47" s="703"/>
      <c r="B47" s="1001"/>
      <c r="C47" s="1001"/>
      <c r="D47" s="1001"/>
      <c r="E47" s="1001"/>
      <c r="F47" s="1001"/>
      <c r="G47" s="700"/>
      <c r="H47" s="49"/>
    </row>
    <row r="48" spans="1:26" ht="15" customHeight="1" x14ac:dyDescent="0.2">
      <c r="A48" s="703"/>
      <c r="B48" s="47"/>
      <c r="C48" s="47"/>
      <c r="D48" s="48"/>
      <c r="E48" s="48"/>
      <c r="F48" s="48"/>
      <c r="G48" s="700"/>
      <c r="H48" s="49"/>
    </row>
    <row r="49" spans="1:8" ht="17.100000000000001" customHeight="1" x14ac:dyDescent="0.25">
      <c r="A49" s="186"/>
      <c r="B49" s="187"/>
      <c r="C49" s="187"/>
      <c r="D49" s="48"/>
      <c r="E49" s="48"/>
      <c r="F49" s="48"/>
      <c r="G49" s="48"/>
      <c r="H49" s="48"/>
    </row>
    <row r="50" spans="1:8" ht="17.100000000000001" customHeight="1" x14ac:dyDescent="0.2">
      <c r="A50" s="703"/>
      <c r="B50" s="48"/>
      <c r="C50" s="48"/>
      <c r="D50" s="48"/>
      <c r="E50" s="48"/>
      <c r="F50" s="48"/>
      <c r="G50" s="48"/>
      <c r="H50" s="48"/>
    </row>
    <row r="51" spans="1:8" ht="17.100000000000001" customHeight="1" x14ac:dyDescent="0.2">
      <c r="A51" s="703"/>
      <c r="B51" s="48"/>
      <c r="C51" s="48"/>
      <c r="D51" s="48"/>
      <c r="E51" s="48"/>
      <c r="F51" s="48"/>
      <c r="G51" s="12"/>
      <c r="H51" s="50"/>
    </row>
    <row r="52" spans="1:8" ht="17.100000000000001" customHeight="1" x14ac:dyDescent="0.2">
      <c r="A52" s="703"/>
      <c r="B52" s="48"/>
      <c r="C52" s="48"/>
      <c r="D52" s="188"/>
      <c r="E52" s="48"/>
      <c r="F52" s="48"/>
      <c r="G52" s="12"/>
      <c r="H52" s="50"/>
    </row>
    <row r="53" spans="1:8" ht="17.100000000000001" customHeight="1" x14ac:dyDescent="0.2">
      <c r="A53" s="703"/>
      <c r="B53" s="48"/>
      <c r="C53" s="48"/>
      <c r="D53" s="48"/>
      <c r="E53" s="48"/>
      <c r="F53" s="48"/>
      <c r="G53" s="12"/>
      <c r="H53" s="50"/>
    </row>
    <row r="54" spans="1:8" ht="17.100000000000001" customHeight="1" x14ac:dyDescent="0.2">
      <c r="A54" s="703"/>
      <c r="B54" s="48"/>
      <c r="C54" s="48"/>
      <c r="D54" s="48"/>
      <c r="E54" s="12"/>
      <c r="F54" s="48"/>
      <c r="G54" s="12"/>
      <c r="H54" s="50"/>
    </row>
    <row r="55" spans="1:8" ht="17.100000000000001" customHeight="1" x14ac:dyDescent="0.2">
      <c r="A55" s="703"/>
      <c r="B55" s="48"/>
      <c r="C55" s="48"/>
      <c r="D55" s="48"/>
      <c r="E55" s="48"/>
      <c r="F55" s="992"/>
      <c r="G55" s="992"/>
      <c r="H55" s="992"/>
    </row>
    <row r="56" spans="1:8" ht="17.100000000000001" customHeight="1" x14ac:dyDescent="0.2">
      <c r="A56" s="703"/>
      <c r="B56" s="992"/>
      <c r="C56" s="992"/>
      <c r="D56" s="992"/>
      <c r="E56" s="992"/>
      <c r="F56" s="992"/>
      <c r="G56" s="992"/>
      <c r="H56" s="992"/>
    </row>
    <row r="57" spans="1:8" ht="17.100000000000001" customHeight="1" x14ac:dyDescent="0.2">
      <c r="A57" s="703"/>
      <c r="B57" s="48"/>
      <c r="C57" s="48"/>
      <c r="D57" s="48"/>
      <c r="E57" s="48"/>
      <c r="F57" s="48"/>
      <c r="G57" s="48"/>
      <c r="H57" s="48"/>
    </row>
    <row r="58" spans="1:8" ht="17.100000000000001" customHeight="1" x14ac:dyDescent="0.2">
      <c r="A58" s="703"/>
      <c r="B58" s="992"/>
      <c r="C58" s="992"/>
      <c r="D58" s="992"/>
      <c r="E58" s="992"/>
      <c r="F58" s="992"/>
      <c r="G58" s="992"/>
      <c r="H58" s="992"/>
    </row>
    <row r="59" spans="1:8" ht="17.100000000000001" customHeight="1" x14ac:dyDescent="0.2">
      <c r="A59" s="703"/>
      <c r="B59" s="48"/>
      <c r="C59" s="48"/>
      <c r="D59" s="48"/>
      <c r="E59" s="48"/>
      <c r="F59" s="48"/>
      <c r="G59" s="48"/>
      <c r="H59" s="48"/>
    </row>
    <row r="60" spans="1:8" ht="17.100000000000001" customHeight="1" x14ac:dyDescent="0.2">
      <c r="A60" s="703"/>
      <c r="B60" s="992"/>
      <c r="C60" s="992"/>
      <c r="D60" s="992"/>
      <c r="E60" s="992"/>
      <c r="F60" s="992"/>
      <c r="G60" s="992"/>
      <c r="H60" s="992"/>
    </row>
    <row r="61" spans="1:8" ht="17.100000000000001" customHeight="1" x14ac:dyDescent="0.25">
      <c r="A61" s="186"/>
      <c r="B61" s="187"/>
      <c r="C61" s="187"/>
      <c r="D61" s="48"/>
      <c r="E61" s="48"/>
      <c r="F61" s="48"/>
      <c r="G61" s="48"/>
      <c r="H61" s="48"/>
    </row>
    <row r="62" spans="1:8" ht="17.100000000000001" customHeight="1" x14ac:dyDescent="0.2">
      <c r="A62" s="703"/>
      <c r="B62" s="48"/>
      <c r="C62" s="48"/>
      <c r="D62" s="48"/>
      <c r="E62" s="48"/>
      <c r="F62" s="48"/>
      <c r="G62" s="48"/>
      <c r="H62" s="48"/>
    </row>
    <row r="63" spans="1:8" ht="17.100000000000001" customHeight="1" x14ac:dyDescent="0.2">
      <c r="A63" s="703"/>
      <c r="B63" s="48"/>
      <c r="C63" s="48"/>
      <c r="D63" s="48"/>
      <c r="E63" s="12"/>
      <c r="F63" s="48"/>
      <c r="G63" s="48"/>
      <c r="H63" s="12"/>
    </row>
    <row r="64" spans="1:8" ht="17.100000000000001" customHeight="1" x14ac:dyDescent="0.3">
      <c r="A64" s="703"/>
      <c r="B64" s="189"/>
      <c r="C64" s="189"/>
      <c r="D64" s="48"/>
      <c r="E64" s="50"/>
      <c r="F64" s="48"/>
      <c r="G64" s="48"/>
      <c r="H64" s="50"/>
    </row>
    <row r="65" spans="1:8" ht="17.100000000000001" customHeight="1" x14ac:dyDescent="0.2">
      <c r="A65" s="703"/>
      <c r="B65" s="190"/>
      <c r="C65" s="190"/>
      <c r="D65" s="48"/>
      <c r="E65" s="12"/>
      <c r="F65" s="48"/>
      <c r="G65" s="48"/>
      <c r="H65" s="12"/>
    </row>
    <row r="66" spans="1:8" ht="17.100000000000001" customHeight="1" x14ac:dyDescent="0.2">
      <c r="A66" s="161"/>
      <c r="B66" s="191"/>
      <c r="C66" s="191"/>
      <c r="D66" s="48"/>
      <c r="E66" s="50"/>
      <c r="F66" s="191"/>
      <c r="G66" s="48"/>
      <c r="H66" s="50"/>
    </row>
    <row r="67" spans="1:8" ht="17.100000000000001" customHeight="1" x14ac:dyDescent="0.2">
      <c r="A67" s="161"/>
      <c r="B67" s="191"/>
      <c r="C67" s="191"/>
      <c r="D67" s="48"/>
      <c r="E67" s="50"/>
      <c r="F67" s="191"/>
      <c r="G67" s="48"/>
      <c r="H67" s="50"/>
    </row>
    <row r="68" spans="1:8" ht="17.100000000000001" customHeight="1" x14ac:dyDescent="0.2">
      <c r="A68" s="161"/>
      <c r="B68" s="191"/>
      <c r="C68" s="191"/>
      <c r="D68" s="48"/>
      <c r="E68" s="50"/>
      <c r="F68" s="191"/>
      <c r="G68" s="48"/>
      <c r="H68" s="50"/>
    </row>
    <row r="69" spans="1:8" ht="17.100000000000001" customHeight="1" x14ac:dyDescent="0.2">
      <c r="A69" s="703"/>
      <c r="B69" s="191"/>
      <c r="C69" s="191"/>
      <c r="D69" s="48"/>
      <c r="E69" s="50"/>
      <c r="F69" s="191"/>
      <c r="G69" s="48"/>
      <c r="H69" s="50"/>
    </row>
    <row r="70" spans="1:8" ht="17.100000000000001" customHeight="1" x14ac:dyDescent="0.2">
      <c r="A70" s="703"/>
      <c r="B70" s="191"/>
      <c r="C70" s="191"/>
      <c r="D70" s="48"/>
      <c r="E70" s="50"/>
      <c r="F70" s="191"/>
      <c r="G70" s="48"/>
      <c r="H70" s="50"/>
    </row>
    <row r="71" spans="1:8" ht="17.100000000000001" customHeight="1" x14ac:dyDescent="0.25">
      <c r="A71" s="703"/>
      <c r="B71" s="192"/>
      <c r="C71" s="192"/>
      <c r="D71" s="48"/>
      <c r="E71" s="50"/>
      <c r="F71" s="191"/>
      <c r="G71" s="48"/>
      <c r="H71" s="50"/>
    </row>
    <row r="72" spans="1:8" ht="17.100000000000001" customHeight="1" x14ac:dyDescent="0.25">
      <c r="A72" s="186"/>
      <c r="B72" s="994"/>
      <c r="C72" s="994"/>
      <c r="D72" s="994"/>
      <c r="E72" s="994"/>
      <c r="F72" s="994"/>
      <c r="G72" s="994"/>
      <c r="H72" s="994"/>
    </row>
    <row r="73" spans="1:8" ht="17.100000000000001" customHeight="1" x14ac:dyDescent="0.2">
      <c r="A73" s="703"/>
      <c r="B73" s="48"/>
      <c r="C73" s="48"/>
      <c r="D73" s="48"/>
      <c r="E73" s="48"/>
      <c r="F73" s="48"/>
      <c r="G73" s="48"/>
      <c r="H73" s="48"/>
    </row>
    <row r="74" spans="1:8" ht="17.100000000000001" customHeight="1" x14ac:dyDescent="0.2">
      <c r="A74" s="703"/>
      <c r="B74" s="48"/>
      <c r="C74" s="48"/>
      <c r="D74" s="48"/>
      <c r="E74" s="48"/>
      <c r="F74" s="48"/>
      <c r="G74" s="48"/>
      <c r="H74" s="48"/>
    </row>
    <row r="75" spans="1:8" ht="17.100000000000001" customHeight="1" x14ac:dyDescent="0.2">
      <c r="A75" s="703"/>
      <c r="B75" s="48"/>
      <c r="C75" s="48"/>
      <c r="D75" s="48"/>
      <c r="E75" s="48"/>
      <c r="F75" s="996"/>
      <c r="G75" s="996"/>
      <c r="H75" s="996"/>
    </row>
    <row r="76" spans="1:8" ht="17.100000000000001" customHeight="1" x14ac:dyDescent="0.2">
      <c r="A76" s="703"/>
      <c r="B76" s="188"/>
      <c r="C76" s="188"/>
      <c r="D76" s="48"/>
      <c r="E76" s="48"/>
      <c r="F76" s="992"/>
      <c r="G76" s="992"/>
      <c r="H76" s="992"/>
    </row>
    <row r="77" spans="1:8" ht="17.100000000000001" customHeight="1" x14ac:dyDescent="0.2">
      <c r="A77" s="703"/>
      <c r="B77" s="48"/>
      <c r="C77" s="48"/>
      <c r="D77" s="48"/>
      <c r="E77" s="48"/>
      <c r="F77" s="992"/>
      <c r="G77" s="992"/>
      <c r="H77" s="992"/>
    </row>
    <row r="78" spans="1:8" ht="17.100000000000001" customHeight="1" x14ac:dyDescent="0.2">
      <c r="A78" s="703"/>
      <c r="B78" s="48"/>
      <c r="C78" s="48"/>
      <c r="D78" s="48"/>
      <c r="E78" s="48"/>
      <c r="F78" s="48"/>
      <c r="G78" s="48"/>
      <c r="H78" s="48"/>
    </row>
    <row r="79" spans="1:8" ht="17.100000000000001" customHeight="1" x14ac:dyDescent="0.2">
      <c r="A79" s="703"/>
      <c r="B79" s="48"/>
      <c r="C79" s="48"/>
      <c r="D79" s="48"/>
      <c r="E79" s="48"/>
      <c r="F79" s="48"/>
      <c r="G79" s="48"/>
      <c r="H79" s="48"/>
    </row>
    <row r="80" spans="1:8" ht="17.100000000000001" customHeight="1" x14ac:dyDescent="0.25">
      <c r="A80" s="186"/>
      <c r="B80" s="995"/>
      <c r="C80" s="995"/>
      <c r="D80" s="995"/>
      <c r="E80" s="995"/>
      <c r="F80" s="995"/>
      <c r="G80" s="995"/>
      <c r="H80" s="995"/>
    </row>
    <row r="81" spans="1:8" ht="17.100000000000001" customHeight="1" x14ac:dyDescent="0.2">
      <c r="A81" s="703"/>
      <c r="B81" s="48"/>
      <c r="C81" s="48"/>
      <c r="D81" s="48"/>
      <c r="E81" s="48"/>
      <c r="F81" s="48"/>
      <c r="G81" s="48"/>
      <c r="H81" s="48"/>
    </row>
    <row r="82" spans="1:8" ht="17.100000000000001" customHeight="1" x14ac:dyDescent="0.2">
      <c r="A82" s="703"/>
      <c r="B82" s="48"/>
      <c r="C82" s="48"/>
      <c r="D82" s="48"/>
      <c r="E82" s="48"/>
      <c r="F82" s="992"/>
      <c r="G82" s="992"/>
      <c r="H82" s="992"/>
    </row>
    <row r="83" spans="1:8" ht="17.100000000000001" customHeight="1" x14ac:dyDescent="0.2">
      <c r="A83" s="703"/>
      <c r="B83" s="992"/>
      <c r="C83" s="992"/>
      <c r="D83" s="992"/>
      <c r="E83" s="193"/>
      <c r="F83" s="992"/>
      <c r="G83" s="992"/>
      <c r="H83" s="992"/>
    </row>
    <row r="84" spans="1:8" ht="17.100000000000001" customHeight="1" x14ac:dyDescent="0.2">
      <c r="A84" s="703"/>
      <c r="B84" s="993"/>
      <c r="C84" s="993"/>
      <c r="D84" s="993"/>
      <c r="E84" s="697"/>
      <c r="F84" s="993"/>
      <c r="G84" s="993"/>
      <c r="H84" s="993"/>
    </row>
    <row r="85" spans="1:8" ht="17.100000000000001" customHeight="1" x14ac:dyDescent="0.2">
      <c r="A85" s="703"/>
      <c r="B85" s="48"/>
      <c r="C85" s="48"/>
      <c r="D85" s="48"/>
      <c r="E85" s="48"/>
      <c r="F85" s="48"/>
      <c r="G85" s="48"/>
      <c r="H85" s="48"/>
    </row>
    <row r="86" spans="1:8" ht="17.100000000000001" customHeight="1" x14ac:dyDescent="0.2">
      <c r="A86" s="703"/>
      <c r="B86" s="48"/>
      <c r="C86" s="48"/>
      <c r="D86" s="48"/>
      <c r="E86" s="48"/>
      <c r="F86" s="992"/>
      <c r="G86" s="992"/>
      <c r="H86" s="992"/>
    </row>
    <row r="87" spans="1:8" ht="17.100000000000001" customHeight="1" x14ac:dyDescent="0.2">
      <c r="A87" s="703"/>
      <c r="B87" s="992"/>
      <c r="C87" s="992"/>
      <c r="D87" s="992"/>
      <c r="E87" s="193"/>
      <c r="F87" s="992"/>
      <c r="G87" s="992"/>
      <c r="H87" s="992"/>
    </row>
    <row r="88" spans="1:8" ht="17.100000000000001" customHeight="1" x14ac:dyDescent="0.2">
      <c r="A88" s="703"/>
      <c r="B88" s="993"/>
      <c r="C88" s="993"/>
      <c r="D88" s="993"/>
      <c r="E88" s="697"/>
      <c r="F88" s="993"/>
      <c r="G88" s="993"/>
      <c r="H88" s="993"/>
    </row>
    <row r="89" spans="1:8" ht="17.100000000000001" customHeight="1" x14ac:dyDescent="0.25">
      <c r="A89" s="186"/>
      <c r="B89" s="994"/>
      <c r="C89" s="994"/>
      <c r="D89" s="994"/>
      <c r="E89" s="994"/>
      <c r="F89" s="994"/>
      <c r="G89" s="994"/>
      <c r="H89" s="994"/>
    </row>
    <row r="90" spans="1:8" ht="17.100000000000001" customHeight="1" x14ac:dyDescent="0.2">
      <c r="A90" s="703"/>
      <c r="B90" s="992"/>
      <c r="C90" s="992"/>
      <c r="D90" s="992"/>
      <c r="E90" s="992"/>
      <c r="F90" s="992"/>
      <c r="G90" s="992"/>
      <c r="H90" s="992"/>
    </row>
    <row r="91" spans="1:8" ht="17.100000000000001" customHeight="1" x14ac:dyDescent="0.2">
      <c r="A91" s="703"/>
      <c r="B91" s="992"/>
      <c r="C91" s="992"/>
      <c r="D91" s="992"/>
      <c r="E91" s="992"/>
      <c r="F91" s="992"/>
      <c r="G91" s="992"/>
      <c r="H91" s="992"/>
    </row>
    <row r="92" spans="1:8" ht="17.100000000000001" customHeight="1" x14ac:dyDescent="0.2">
      <c r="A92" s="703"/>
      <c r="B92" s="992"/>
      <c r="C92" s="992"/>
      <c r="D92" s="992"/>
      <c r="E92" s="992"/>
      <c r="F92" s="992"/>
      <c r="G92" s="992"/>
      <c r="H92" s="992"/>
    </row>
    <row r="93" spans="1:8" ht="17.100000000000001" customHeight="1" x14ac:dyDescent="0.2">
      <c r="A93" s="703"/>
      <c r="B93" s="992"/>
      <c r="C93" s="992"/>
      <c r="D93" s="992"/>
      <c r="E93" s="992"/>
      <c r="F93" s="992"/>
      <c r="G93" s="992"/>
      <c r="H93" s="992"/>
    </row>
    <row r="94" spans="1:8" ht="17.100000000000001" customHeight="1" x14ac:dyDescent="0.2">
      <c r="A94" s="188"/>
      <c r="B94" s="188"/>
      <c r="C94" s="188"/>
      <c r="D94" s="188"/>
      <c r="E94" s="188"/>
      <c r="F94" s="188"/>
      <c r="G94" s="188"/>
      <c r="H94" s="188"/>
    </row>
    <row r="95" spans="1:8" ht="17.100000000000001" customHeight="1" x14ac:dyDescent="0.2">
      <c r="A95" s="188"/>
      <c r="B95" s="188"/>
      <c r="C95" s="188"/>
      <c r="D95" s="188"/>
      <c r="E95" s="188"/>
      <c r="F95" s="188"/>
      <c r="G95" s="188"/>
      <c r="H95" s="188"/>
    </row>
    <row r="96" spans="1:8" ht="17.100000000000001" customHeight="1" x14ac:dyDescent="0.2">
      <c r="B96" s="188"/>
      <c r="C96" s="188"/>
      <c r="D96" s="188"/>
      <c r="E96" s="188"/>
      <c r="F96" s="188"/>
      <c r="G96" s="188"/>
      <c r="H96" s="188"/>
    </row>
    <row r="97" spans="2:8" ht="17.100000000000001" customHeight="1" x14ac:dyDescent="0.2">
      <c r="B97" s="188"/>
      <c r="C97" s="188"/>
      <c r="D97" s="188"/>
      <c r="E97" s="188"/>
      <c r="F97" s="188"/>
      <c r="G97" s="188"/>
      <c r="H97" s="188"/>
    </row>
    <row r="98" spans="2:8" ht="17.100000000000001" customHeight="1" x14ac:dyDescent="0.2">
      <c r="B98" s="188"/>
      <c r="C98" s="188"/>
      <c r="D98" s="188"/>
      <c r="E98" s="188"/>
      <c r="F98" s="188"/>
      <c r="G98" s="188"/>
      <c r="H98" s="188"/>
    </row>
    <row r="99" spans="2:8" ht="17.100000000000001" customHeight="1" x14ac:dyDescent="0.2">
      <c r="B99" s="188"/>
      <c r="C99" s="188"/>
      <c r="D99" s="188"/>
      <c r="E99" s="188"/>
      <c r="F99" s="188"/>
      <c r="G99" s="188"/>
      <c r="H99" s="188"/>
    </row>
    <row r="100" spans="2:8" ht="17.100000000000001" customHeight="1" x14ac:dyDescent="0.2">
      <c r="B100" s="188"/>
      <c r="C100" s="188"/>
      <c r="D100" s="188"/>
      <c r="E100" s="188"/>
      <c r="F100" s="188"/>
      <c r="G100" s="188"/>
      <c r="H100" s="188"/>
    </row>
    <row r="101" spans="2:8" ht="17.100000000000001" customHeight="1" x14ac:dyDescent="0.2">
      <c r="B101" s="188"/>
      <c r="C101" s="188"/>
      <c r="D101" s="188"/>
      <c r="E101" s="188"/>
      <c r="F101" s="188"/>
      <c r="G101" s="188"/>
      <c r="H101" s="188"/>
    </row>
    <row r="102" spans="2:8" ht="17.100000000000001" customHeight="1" x14ac:dyDescent="0.2">
      <c r="B102" s="188"/>
      <c r="C102" s="188"/>
      <c r="D102" s="188"/>
      <c r="E102" s="188"/>
      <c r="F102" s="188"/>
      <c r="G102" s="188"/>
      <c r="H102" s="188"/>
    </row>
    <row r="103" spans="2:8" ht="17.100000000000001" customHeight="1" x14ac:dyDescent="0.2">
      <c r="B103" s="188"/>
      <c r="C103" s="188"/>
      <c r="D103" s="188"/>
      <c r="E103" s="188"/>
      <c r="F103" s="188"/>
      <c r="G103" s="188"/>
      <c r="H103" s="188"/>
    </row>
    <row r="104" spans="2:8" ht="17.100000000000001" customHeight="1" x14ac:dyDescent="0.2">
      <c r="B104" s="188"/>
      <c r="C104" s="188"/>
      <c r="D104" s="188"/>
      <c r="E104" s="188"/>
      <c r="F104" s="188"/>
      <c r="G104" s="188"/>
      <c r="H104" s="188"/>
    </row>
    <row r="105" spans="2:8" ht="17.100000000000001" customHeight="1" x14ac:dyDescent="0.2">
      <c r="B105" s="188"/>
      <c r="C105" s="188"/>
      <c r="D105" s="188"/>
      <c r="E105" s="188"/>
      <c r="F105" s="188"/>
      <c r="G105" s="188"/>
      <c r="H105" s="188"/>
    </row>
    <row r="106" spans="2:8" ht="17.100000000000001" customHeight="1" x14ac:dyDescent="0.2">
      <c r="B106" s="188"/>
      <c r="C106" s="188"/>
      <c r="D106" s="188"/>
      <c r="E106" s="188"/>
      <c r="F106" s="188"/>
      <c r="G106" s="188"/>
      <c r="H106" s="188"/>
    </row>
    <row r="107" spans="2:8" ht="17.100000000000001" customHeight="1" x14ac:dyDescent="0.2">
      <c r="B107" s="188"/>
      <c r="C107" s="188"/>
      <c r="D107" s="188"/>
      <c r="E107" s="188"/>
      <c r="F107" s="188"/>
      <c r="G107" s="188"/>
      <c r="H107" s="188"/>
    </row>
    <row r="108" spans="2:8" ht="17.100000000000001" customHeight="1" x14ac:dyDescent="0.2">
      <c r="B108" s="188"/>
      <c r="C108" s="188"/>
      <c r="D108" s="188"/>
      <c r="E108" s="188"/>
      <c r="F108" s="188"/>
      <c r="G108" s="188"/>
      <c r="H108" s="188"/>
    </row>
    <row r="109" spans="2:8" ht="17.100000000000001" customHeight="1" x14ac:dyDescent="0.2">
      <c r="B109" s="188"/>
      <c r="C109" s="188"/>
      <c r="D109" s="188"/>
      <c r="E109" s="188"/>
      <c r="F109" s="188"/>
      <c r="G109" s="188"/>
      <c r="H109" s="188"/>
    </row>
    <row r="110" spans="2:8" ht="17.100000000000001" customHeight="1" x14ac:dyDescent="0.2">
      <c r="B110" s="188"/>
      <c r="C110" s="188"/>
      <c r="D110" s="188"/>
      <c r="E110" s="188"/>
      <c r="F110" s="188"/>
      <c r="G110" s="188"/>
      <c r="H110" s="188"/>
    </row>
    <row r="111" spans="2:8" ht="17.100000000000001" customHeight="1" x14ac:dyDescent="0.2">
      <c r="B111" s="188"/>
      <c r="C111" s="188"/>
      <c r="D111" s="188"/>
      <c r="E111" s="188"/>
      <c r="F111" s="188"/>
      <c r="G111" s="188"/>
      <c r="H111" s="188"/>
    </row>
    <row r="112" spans="2:8" ht="17.100000000000001" customHeight="1" x14ac:dyDescent="0.2">
      <c r="B112" s="188"/>
      <c r="C112" s="188"/>
      <c r="D112" s="188"/>
      <c r="E112" s="188"/>
      <c r="F112" s="188"/>
      <c r="G112" s="188"/>
      <c r="H112" s="188"/>
    </row>
    <row r="113" spans="2:8" ht="17.100000000000001" customHeight="1" x14ac:dyDescent="0.2">
      <c r="B113" s="188"/>
      <c r="C113" s="188"/>
      <c r="D113" s="188"/>
      <c r="E113" s="188"/>
      <c r="F113" s="188"/>
      <c r="G113" s="188"/>
      <c r="H113" s="188"/>
    </row>
    <row r="114" spans="2:8" ht="17.100000000000001" customHeight="1" x14ac:dyDescent="0.2">
      <c r="B114" s="188"/>
      <c r="C114" s="188"/>
      <c r="D114" s="188"/>
      <c r="E114" s="188"/>
      <c r="F114" s="188"/>
      <c r="G114" s="188"/>
      <c r="H114" s="188"/>
    </row>
    <row r="115" spans="2:8" ht="17.100000000000001" customHeight="1" x14ac:dyDescent="0.2">
      <c r="B115" s="188"/>
      <c r="C115" s="188"/>
      <c r="D115" s="188"/>
      <c r="E115" s="188"/>
      <c r="F115" s="188"/>
      <c r="G115" s="188"/>
      <c r="H115" s="188"/>
    </row>
    <row r="116" spans="2:8" ht="17.100000000000001" customHeight="1" x14ac:dyDescent="0.2">
      <c r="B116" s="188"/>
      <c r="C116" s="188"/>
      <c r="D116" s="188"/>
      <c r="E116" s="188"/>
      <c r="F116" s="188"/>
      <c r="G116" s="188"/>
      <c r="H116" s="188"/>
    </row>
    <row r="117" spans="2:8" ht="17.100000000000001" customHeight="1" x14ac:dyDescent="0.2">
      <c r="B117" s="188"/>
      <c r="C117" s="188"/>
      <c r="D117" s="188"/>
      <c r="E117" s="188"/>
      <c r="F117" s="188"/>
      <c r="G117" s="188"/>
      <c r="H117" s="188"/>
    </row>
    <row r="118" spans="2:8" ht="17.100000000000001" customHeight="1" x14ac:dyDescent="0.2">
      <c r="B118" s="188"/>
      <c r="C118" s="188"/>
      <c r="D118" s="188"/>
      <c r="E118" s="188"/>
      <c r="F118" s="188"/>
      <c r="G118" s="188"/>
      <c r="H118" s="188"/>
    </row>
    <row r="119" spans="2:8" ht="17.100000000000001" customHeight="1" x14ac:dyDescent="0.2">
      <c r="B119" s="188"/>
      <c r="C119" s="188"/>
      <c r="D119" s="188"/>
      <c r="E119" s="188"/>
      <c r="F119" s="188"/>
      <c r="G119" s="188"/>
      <c r="H119" s="188"/>
    </row>
    <row r="120" spans="2:8" ht="17.100000000000001" customHeight="1" x14ac:dyDescent="0.2">
      <c r="B120" s="188"/>
      <c r="C120" s="188"/>
      <c r="D120" s="188"/>
      <c r="E120" s="188"/>
      <c r="F120" s="188"/>
      <c r="G120" s="188"/>
      <c r="H120" s="188"/>
    </row>
    <row r="121" spans="2:8" ht="17.100000000000001" customHeight="1" x14ac:dyDescent="0.2">
      <c r="B121" s="188"/>
      <c r="C121" s="188"/>
      <c r="D121" s="188"/>
      <c r="E121" s="188"/>
      <c r="F121" s="188"/>
      <c r="G121" s="188"/>
      <c r="H121" s="188"/>
    </row>
    <row r="122" spans="2:8" ht="17.100000000000001" customHeight="1" x14ac:dyDescent="0.2">
      <c r="B122" s="188"/>
      <c r="C122" s="188"/>
      <c r="D122" s="188"/>
      <c r="E122" s="188"/>
      <c r="F122" s="188"/>
      <c r="G122" s="188"/>
      <c r="H122" s="188"/>
    </row>
    <row r="123" spans="2:8" ht="17.100000000000001" customHeight="1" x14ac:dyDescent="0.2">
      <c r="B123" s="188"/>
      <c r="C123" s="188"/>
      <c r="D123" s="188"/>
      <c r="E123" s="188"/>
      <c r="F123" s="188"/>
      <c r="G123" s="188"/>
      <c r="H123" s="188"/>
    </row>
    <row r="124" spans="2:8" ht="17.100000000000001" customHeight="1" x14ac:dyDescent="0.2">
      <c r="B124" s="188"/>
      <c r="C124" s="188"/>
      <c r="D124" s="188"/>
      <c r="E124" s="188"/>
      <c r="F124" s="188"/>
      <c r="G124" s="188"/>
      <c r="H124" s="188"/>
    </row>
    <row r="125" spans="2:8" ht="17.100000000000001" customHeight="1" x14ac:dyDescent="0.2">
      <c r="B125" s="188"/>
      <c r="C125" s="188"/>
      <c r="D125" s="188"/>
      <c r="E125" s="188"/>
      <c r="F125" s="188"/>
      <c r="G125" s="188"/>
      <c r="H125" s="188"/>
    </row>
    <row r="126" spans="2:8" ht="17.100000000000001" customHeight="1" x14ac:dyDescent="0.2">
      <c r="B126" s="188"/>
      <c r="C126" s="188"/>
      <c r="D126" s="188"/>
      <c r="E126" s="188"/>
      <c r="F126" s="188"/>
      <c r="G126" s="188"/>
      <c r="H126" s="188"/>
    </row>
    <row r="127" spans="2:8" ht="17.100000000000001" customHeight="1" x14ac:dyDescent="0.2">
      <c r="B127" s="188"/>
      <c r="C127" s="188"/>
      <c r="D127" s="188"/>
      <c r="E127" s="188"/>
      <c r="F127" s="188"/>
      <c r="G127" s="188"/>
      <c r="H127" s="188"/>
    </row>
    <row r="128" spans="2:8" ht="17.100000000000001" customHeight="1" x14ac:dyDescent="0.2">
      <c r="B128" s="188"/>
      <c r="C128" s="188"/>
      <c r="D128" s="188"/>
      <c r="E128" s="188"/>
      <c r="F128" s="188"/>
      <c r="G128" s="188"/>
      <c r="H128" s="188"/>
    </row>
    <row r="129" spans="1:14" ht="17.100000000000001" customHeight="1" x14ac:dyDescent="0.2">
      <c r="B129" s="188"/>
      <c r="C129" s="188"/>
      <c r="D129" s="188"/>
      <c r="E129" s="188"/>
      <c r="F129" s="188"/>
      <c r="G129" s="188"/>
      <c r="H129" s="188"/>
    </row>
    <row r="130" spans="1:14" ht="17.100000000000001" customHeight="1" x14ac:dyDescent="0.2">
      <c r="B130" s="188"/>
      <c r="C130" s="188"/>
      <c r="D130" s="188"/>
      <c r="E130" s="188"/>
      <c r="F130" s="188"/>
      <c r="G130" s="188"/>
      <c r="H130" s="188"/>
    </row>
    <row r="131" spans="1:14" ht="17.100000000000001" customHeight="1" x14ac:dyDescent="0.2">
      <c r="B131" s="188"/>
      <c r="C131" s="188"/>
      <c r="D131" s="188"/>
      <c r="E131" s="188"/>
      <c r="F131" s="188"/>
      <c r="G131" s="188"/>
      <c r="H131" s="188"/>
    </row>
    <row r="132" spans="1:14" ht="17.100000000000001" customHeight="1" x14ac:dyDescent="0.2">
      <c r="B132" s="188"/>
      <c r="C132" s="188"/>
      <c r="D132" s="188"/>
      <c r="E132" s="188"/>
      <c r="F132" s="188"/>
      <c r="G132" s="188"/>
      <c r="H132" s="188"/>
    </row>
    <row r="133" spans="1:14" ht="17.100000000000001" customHeight="1" x14ac:dyDescent="0.2">
      <c r="B133" s="188"/>
      <c r="C133" s="188"/>
      <c r="D133" s="188"/>
      <c r="E133" s="188"/>
      <c r="F133" s="188"/>
      <c r="G133" s="188"/>
      <c r="H133" s="188"/>
    </row>
    <row r="134" spans="1:14" ht="17.100000000000001" customHeight="1" x14ac:dyDescent="0.2">
      <c r="B134" s="188"/>
      <c r="C134" s="188"/>
      <c r="D134" s="188"/>
      <c r="E134" s="188"/>
      <c r="F134" s="188"/>
      <c r="G134" s="188"/>
      <c r="H134" s="188"/>
    </row>
    <row r="135" spans="1:14" ht="17.100000000000001" customHeight="1" x14ac:dyDescent="0.2">
      <c r="B135" s="188"/>
      <c r="C135" s="188"/>
      <c r="D135" s="188"/>
      <c r="E135" s="188"/>
      <c r="F135" s="188"/>
      <c r="G135" s="188"/>
      <c r="H135" s="188"/>
    </row>
    <row r="136" spans="1:14" ht="17.100000000000001" customHeight="1" x14ac:dyDescent="0.2">
      <c r="B136" s="188"/>
      <c r="C136" s="188"/>
      <c r="D136" s="188"/>
      <c r="E136" s="188"/>
      <c r="F136" s="188"/>
      <c r="G136" s="188"/>
      <c r="H136" s="188"/>
    </row>
    <row r="137" spans="1:14" ht="17.100000000000001" customHeight="1" x14ac:dyDescent="0.2">
      <c r="B137" s="188"/>
      <c r="C137" s="188"/>
      <c r="D137" s="188"/>
      <c r="E137" s="188"/>
      <c r="F137" s="188"/>
      <c r="G137" s="188"/>
      <c r="H137" s="188"/>
    </row>
    <row r="138" spans="1:14" ht="17.100000000000001" customHeight="1" x14ac:dyDescent="0.2">
      <c r="B138" s="188"/>
      <c r="C138" s="188"/>
      <c r="D138" s="188"/>
      <c r="E138" s="188"/>
      <c r="F138" s="188"/>
      <c r="G138" s="188"/>
      <c r="H138" s="188"/>
    </row>
    <row r="139" spans="1:14" ht="17.100000000000001" customHeight="1" x14ac:dyDescent="0.2">
      <c r="B139" s="188"/>
      <c r="C139" s="188"/>
      <c r="D139" s="188"/>
      <c r="E139" s="188"/>
      <c r="F139" s="188"/>
      <c r="G139" s="188"/>
      <c r="H139" s="188"/>
    </row>
    <row r="140" spans="1:14" ht="17.100000000000001" customHeight="1" x14ac:dyDescent="0.2">
      <c r="A140" s="188"/>
      <c r="B140" s="188"/>
      <c r="C140" s="188"/>
      <c r="D140" s="188"/>
      <c r="E140" s="188"/>
      <c r="F140" s="188"/>
      <c r="G140" s="188"/>
      <c r="H140" s="188"/>
      <c r="I140" s="188"/>
      <c r="J140" s="47"/>
      <c r="K140" s="47"/>
      <c r="L140" s="47"/>
      <c r="M140" s="47"/>
    </row>
    <row r="141" spans="1:14" ht="17.100000000000001" customHeight="1" x14ac:dyDescent="0.2">
      <c r="A141" s="188"/>
      <c r="B141" s="188"/>
      <c r="C141" s="188"/>
      <c r="D141" s="188"/>
      <c r="E141" s="188"/>
      <c r="F141" s="188"/>
      <c r="G141" s="188"/>
      <c r="H141" s="188"/>
      <c r="I141" s="188"/>
      <c r="J141" s="47"/>
      <c r="K141" s="47"/>
      <c r="L141" s="47"/>
      <c r="M141" s="47"/>
    </row>
    <row r="142" spans="1:14" ht="17.100000000000001" customHeight="1" x14ac:dyDescent="0.2">
      <c r="A142" s="188"/>
      <c r="B142" s="188"/>
      <c r="C142" s="188"/>
      <c r="D142" s="188"/>
      <c r="E142" s="188"/>
      <c r="F142" s="188"/>
      <c r="G142" s="188"/>
      <c r="H142" s="188"/>
      <c r="I142" s="188"/>
      <c r="J142" s="47"/>
      <c r="K142" s="47"/>
      <c r="L142" s="47"/>
      <c r="M142" s="47"/>
    </row>
    <row r="143" spans="1:14" ht="17.100000000000001" customHeight="1" x14ac:dyDescent="0.2">
      <c r="A143" s="188"/>
      <c r="B143" s="188"/>
      <c r="C143" s="188"/>
      <c r="D143" s="188"/>
      <c r="E143" s="188"/>
      <c r="F143" s="188"/>
      <c r="G143" s="188"/>
      <c r="H143" s="188"/>
      <c r="I143" s="188"/>
      <c r="J143" s="47"/>
      <c r="K143" s="47"/>
      <c r="L143" s="47"/>
      <c r="M143" s="47"/>
    </row>
    <row r="144" spans="1:14" ht="17.100000000000001" customHeight="1" x14ac:dyDescent="0.2">
      <c r="A144" s="188"/>
      <c r="B144" s="188"/>
      <c r="C144" s="188"/>
      <c r="D144" s="188"/>
      <c r="E144" s="188"/>
      <c r="F144" s="188"/>
      <c r="G144" s="188"/>
      <c r="H144" s="188"/>
      <c r="I144" s="188"/>
      <c r="J144" s="47"/>
      <c r="K144" s="47"/>
      <c r="L144" s="47"/>
      <c r="M144" s="47"/>
      <c r="N144" s="47"/>
    </row>
    <row r="145" spans="1:13" ht="17.100000000000001" customHeight="1" x14ac:dyDescent="0.2">
      <c r="A145" s="188"/>
      <c r="B145" s="188"/>
      <c r="C145" s="188"/>
      <c r="D145" s="188"/>
      <c r="E145" s="188"/>
      <c r="F145" s="188"/>
      <c r="G145" s="188"/>
      <c r="H145" s="188"/>
      <c r="I145" s="188"/>
      <c r="J145" s="47"/>
      <c r="K145" s="47"/>
      <c r="L145" s="47"/>
      <c r="M145" s="47"/>
    </row>
    <row r="146" spans="1:13" ht="17.100000000000001" customHeight="1" x14ac:dyDescent="0.2">
      <c r="A146" s="188"/>
      <c r="B146" s="188"/>
      <c r="C146" s="188"/>
      <c r="D146" s="188"/>
      <c r="E146" s="188"/>
      <c r="F146" s="188"/>
      <c r="G146" s="188"/>
      <c r="H146" s="188"/>
      <c r="I146" s="188"/>
      <c r="J146" s="47"/>
      <c r="K146" s="47"/>
      <c r="L146" s="47"/>
      <c r="M146" s="47"/>
    </row>
    <row r="147" spans="1:13" ht="17.100000000000001" customHeight="1" x14ac:dyDescent="0.2">
      <c r="A147" s="188"/>
      <c r="B147" s="188"/>
      <c r="C147" s="188"/>
      <c r="D147" s="188"/>
      <c r="E147" s="188"/>
      <c r="F147" s="188"/>
      <c r="G147" s="188"/>
      <c r="H147" s="188"/>
      <c r="I147" s="188"/>
      <c r="J147" s="47"/>
      <c r="K147" s="47"/>
      <c r="L147" s="47"/>
      <c r="M147" s="47"/>
    </row>
    <row r="148" spans="1:13" ht="17.100000000000001" customHeight="1" x14ac:dyDescent="0.2">
      <c r="A148" s="188"/>
      <c r="B148" s="188"/>
      <c r="C148" s="188"/>
      <c r="D148" s="188"/>
      <c r="E148" s="188"/>
      <c r="F148" s="188"/>
      <c r="G148" s="188"/>
      <c r="H148" s="188"/>
      <c r="I148" s="188"/>
      <c r="J148" s="47"/>
      <c r="K148" s="47"/>
      <c r="L148" s="47"/>
      <c r="M148" s="47"/>
    </row>
    <row r="149" spans="1:13" ht="17.100000000000001" customHeight="1" x14ac:dyDescent="0.2">
      <c r="A149" s="188"/>
      <c r="B149" s="188"/>
      <c r="C149" s="188"/>
      <c r="D149" s="188"/>
      <c r="E149" s="188"/>
      <c r="F149" s="188"/>
      <c r="G149" s="188"/>
      <c r="H149" s="188"/>
      <c r="I149" s="188"/>
      <c r="J149" s="47"/>
      <c r="K149" s="47"/>
      <c r="L149" s="47"/>
      <c r="M149" s="47"/>
    </row>
    <row r="150" spans="1:13" ht="17.100000000000001" customHeight="1" x14ac:dyDescent="0.2">
      <c r="A150" s="188"/>
      <c r="B150" s="188"/>
      <c r="C150" s="188"/>
      <c r="D150" s="188"/>
      <c r="E150" s="188"/>
      <c r="F150" s="188"/>
      <c r="G150" s="188"/>
      <c r="H150" s="188"/>
      <c r="I150" s="188"/>
      <c r="J150" s="47"/>
      <c r="K150" s="47"/>
      <c r="L150" s="47"/>
      <c r="M150" s="47"/>
    </row>
    <row r="151" spans="1:13" ht="17.100000000000001" customHeight="1" x14ac:dyDescent="0.2">
      <c r="A151" s="188"/>
      <c r="B151" s="188"/>
      <c r="C151" s="188"/>
      <c r="D151" s="188"/>
      <c r="E151" s="188"/>
      <c r="F151" s="188"/>
      <c r="G151" s="188"/>
      <c r="H151" s="188"/>
      <c r="I151" s="188"/>
      <c r="J151" s="47"/>
      <c r="K151" s="47"/>
      <c r="L151" s="47"/>
      <c r="M151" s="47"/>
    </row>
    <row r="152" spans="1:13" ht="17.100000000000001" customHeight="1" x14ac:dyDescent="0.2">
      <c r="A152" s="188"/>
      <c r="B152" s="188"/>
      <c r="C152" s="188"/>
      <c r="D152" s="188"/>
      <c r="E152" s="188"/>
      <c r="F152" s="188"/>
      <c r="G152" s="188"/>
      <c r="H152" s="188"/>
      <c r="I152" s="188"/>
      <c r="J152" s="47"/>
      <c r="K152" s="47"/>
      <c r="L152" s="47"/>
      <c r="M152" s="47"/>
    </row>
  </sheetData>
  <sheetProtection algorithmName="SHA-512" hashValue="r+kCUg62X0NRXgdgsAKwnWlwOmBmZspBV0rMbYRo/DjrQQwvK0oNRdK8RCsiE4J6JsL1shYJk3bblTAmErLkig==" saltValue="Z1+KQAbCGnMYBFG0ctmdDw==" spinCount="100000" sheet="1" objects="1" scenarios="1" selectLockedCells="1"/>
  <customSheetViews>
    <customSheetView guid="{FE27F3BB-8686-48A9-9FE6-C2348F62E79E}" showGridLines="0" hiddenColumns="1">
      <selection activeCell="U31" sqref="U31"/>
      <pageMargins left="0.70866141732283472" right="0.70866141732283472" top="0.74803149606299213" bottom="0.74803149606299213" header="0.31496062992125984" footer="0.31496062992125984"/>
      <printOptions horizontalCentered="1"/>
      <pageSetup paperSize="9" scale="73" fitToHeight="4" orientation="portrait" r:id="rId1"/>
      <headerFooter alignWithMargins="0">
        <oddFooter>&amp;R&amp;6Seite &amp;P von &amp;N</oddFooter>
      </headerFooter>
    </customSheetView>
  </customSheetViews>
  <mergeCells count="54">
    <mergeCell ref="C4:H4"/>
    <mergeCell ref="C5:H5"/>
    <mergeCell ref="A1:H1"/>
    <mergeCell ref="B14:D14"/>
    <mergeCell ref="A13:H13"/>
    <mergeCell ref="F14:H14"/>
    <mergeCell ref="B8:H8"/>
    <mergeCell ref="C6:H6"/>
    <mergeCell ref="F55:H55"/>
    <mergeCell ref="A9:H9"/>
    <mergeCell ref="A11:H11"/>
    <mergeCell ref="B21:D21"/>
    <mergeCell ref="B22:H22"/>
    <mergeCell ref="B31:H31"/>
    <mergeCell ref="A32:H32"/>
    <mergeCell ref="B45:F45"/>
    <mergeCell ref="B46:F46"/>
    <mergeCell ref="B47:F47"/>
    <mergeCell ref="B38:H38"/>
    <mergeCell ref="A42:H42"/>
    <mergeCell ref="A35:H35"/>
    <mergeCell ref="B34:H34"/>
    <mergeCell ref="B36:H36"/>
    <mergeCell ref="B37:H37"/>
    <mergeCell ref="B84:D84"/>
    <mergeCell ref="F84:H84"/>
    <mergeCell ref="B56:H56"/>
    <mergeCell ref="B58:H58"/>
    <mergeCell ref="B60:H60"/>
    <mergeCell ref="B72:H72"/>
    <mergeCell ref="F75:H75"/>
    <mergeCell ref="F76:H76"/>
    <mergeCell ref="F77:H77"/>
    <mergeCell ref="B80:H80"/>
    <mergeCell ref="F82:H82"/>
    <mergeCell ref="B83:D83"/>
    <mergeCell ref="F83:H83"/>
    <mergeCell ref="B90:H90"/>
    <mergeCell ref="B91:H91"/>
    <mergeCell ref="B92:H92"/>
    <mergeCell ref="B93:H93"/>
    <mergeCell ref="F86:H86"/>
    <mergeCell ref="B87:D87"/>
    <mergeCell ref="F87:H87"/>
    <mergeCell ref="B88:D88"/>
    <mergeCell ref="F88:H88"/>
    <mergeCell ref="B89:H89"/>
    <mergeCell ref="K33:Q33"/>
    <mergeCell ref="K38:Q38"/>
    <mergeCell ref="K41:Q41"/>
    <mergeCell ref="A40:H40"/>
    <mergeCell ref="B41:H41"/>
    <mergeCell ref="K36:Q36"/>
    <mergeCell ref="K37:Q37"/>
  </mergeCells>
  <printOptions horizontalCentered="1"/>
  <pageMargins left="0.70866141732283472" right="0.70866141732283472" top="0.74803149606299213" bottom="0.74803149606299213" header="0.31496062992125984" footer="0.31496062992125984"/>
  <pageSetup paperSize="9" scale="73" fitToHeight="4" orientation="portrait" r:id="rId2"/>
  <headerFooter alignWithMargins="0">
    <oddFooter>&amp;L&amp;D&amp;RSeite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8433" r:id="rId5" name="Option Button 1">
              <controlPr defaultSize="0" autoFill="0" autoLine="0" autoPict="0">
                <anchor moveWithCells="1">
                  <from>
                    <xdr:col>0</xdr:col>
                    <xdr:colOff>76200</xdr:colOff>
                    <xdr:row>35</xdr:row>
                    <xdr:rowOff>28575</xdr:rowOff>
                  </from>
                  <to>
                    <xdr:col>1</xdr:col>
                    <xdr:colOff>57150</xdr:colOff>
                    <xdr:row>35</xdr:row>
                    <xdr:rowOff>247650</xdr:rowOff>
                  </to>
                </anchor>
              </controlPr>
            </control>
          </mc:Choice>
        </mc:AlternateContent>
        <mc:AlternateContent xmlns:mc="http://schemas.openxmlformats.org/markup-compatibility/2006">
          <mc:Choice Requires="x14">
            <control shapeId="18434" r:id="rId6" name="Option Button 2">
              <controlPr defaultSize="0" autoFill="0" autoLine="0" autoPict="0">
                <anchor moveWithCells="1">
                  <from>
                    <xdr:col>0</xdr:col>
                    <xdr:colOff>76200</xdr:colOff>
                    <xdr:row>40</xdr:row>
                    <xdr:rowOff>0</xdr:rowOff>
                  </from>
                  <to>
                    <xdr:col>1</xdr:col>
                    <xdr:colOff>57150</xdr:colOff>
                    <xdr:row>40</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W306"/>
  <sheetViews>
    <sheetView showGridLines="0" zoomScaleNormal="100" workbookViewId="0">
      <selection activeCell="H71" sqref="H71"/>
    </sheetView>
  </sheetViews>
  <sheetFormatPr baseColWidth="10" defaultRowHeight="17.100000000000001" customHeight="1" x14ac:dyDescent="0.2"/>
  <cols>
    <col min="1" max="1" width="4.85546875" customWidth="1"/>
    <col min="2" max="2" width="3.85546875" customWidth="1"/>
    <col min="3" max="3" width="16" customWidth="1"/>
    <col min="4" max="4" width="17.42578125" customWidth="1"/>
    <col min="5" max="5" width="16.28515625" customWidth="1"/>
    <col min="6" max="6" width="23.42578125" customWidth="1"/>
    <col min="7" max="7" width="17" customWidth="1"/>
    <col min="8" max="8" width="15.5703125" customWidth="1"/>
    <col min="9" max="9" width="2" style="121" hidden="1" customWidth="1"/>
    <col min="10" max="10" width="11.42578125" style="122" hidden="1" customWidth="1"/>
    <col min="11" max="11" width="13.85546875" style="122" hidden="1" customWidth="1"/>
    <col min="12" max="12" width="14.85546875" style="122" hidden="1" customWidth="1"/>
    <col min="13" max="15" width="11.42578125" style="122" hidden="1" customWidth="1"/>
    <col min="16" max="16" width="14.140625" style="122" hidden="1" customWidth="1"/>
    <col min="17" max="17" width="14.28515625" style="122" hidden="1" customWidth="1"/>
    <col min="18" max="19" width="11.42578125" style="122" hidden="1" customWidth="1"/>
    <col min="20" max="22" width="11.42578125" style="121" hidden="1" customWidth="1"/>
    <col min="23" max="26" width="11.42578125" hidden="1" customWidth="1"/>
    <col min="27" max="34" width="11.42578125" customWidth="1"/>
  </cols>
  <sheetData>
    <row r="1" spans="1:49" ht="42" customHeight="1" x14ac:dyDescent="0.3">
      <c r="A1" s="1019" t="s">
        <v>253</v>
      </c>
      <c r="B1" s="1020"/>
      <c r="C1" s="1020"/>
      <c r="D1" s="1020"/>
      <c r="E1" s="1020"/>
      <c r="F1" s="1020"/>
      <c r="G1" s="1020"/>
      <c r="H1" s="1021"/>
    </row>
    <row r="2" spans="1:49" ht="12" customHeight="1" x14ac:dyDescent="0.2">
      <c r="A2" s="423" t="str">
        <f>Erklärung!A2</f>
        <v>Version 3.2</v>
      </c>
      <c r="B2" s="424"/>
      <c r="C2" s="424"/>
      <c r="D2" s="424"/>
      <c r="E2" s="424"/>
      <c r="F2" s="424"/>
      <c r="G2" s="530" t="str">
        <f>Erklärung!D2</f>
        <v>Stand: August 2016</v>
      </c>
      <c r="H2" s="479"/>
    </row>
    <row r="3" spans="1:49" ht="6" customHeight="1" x14ac:dyDescent="0.2">
      <c r="A3" s="428"/>
      <c r="B3" s="429"/>
      <c r="C3" s="430"/>
      <c r="D3" s="430"/>
      <c r="E3" s="430"/>
      <c r="F3" s="430"/>
      <c r="G3" s="430"/>
      <c r="H3" s="431"/>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93"/>
      <c r="AJ3" s="93"/>
      <c r="AK3" s="93"/>
      <c r="AL3" s="93"/>
      <c r="AM3" s="93"/>
      <c r="AN3" s="93"/>
      <c r="AO3" s="93"/>
      <c r="AP3" s="93"/>
      <c r="AQ3" s="93"/>
      <c r="AR3" s="93"/>
      <c r="AS3" s="93"/>
      <c r="AT3" s="93"/>
      <c r="AU3" s="93"/>
      <c r="AV3" s="93"/>
      <c r="AW3" s="93"/>
    </row>
    <row r="4" spans="1:49" ht="16.5" customHeight="1" x14ac:dyDescent="0.2">
      <c r="A4" s="433" t="s">
        <v>228</v>
      </c>
      <c r="B4" s="434"/>
      <c r="C4" s="1093" t="str">
        <f>IF(Basisdaten!C10="","",Basisdaten!C10)</f>
        <v/>
      </c>
      <c r="D4" s="1093"/>
      <c r="E4" s="1093"/>
      <c r="F4" s="1093"/>
      <c r="G4" s="1093"/>
      <c r="H4" s="1094"/>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93"/>
      <c r="AJ4" s="93"/>
      <c r="AK4" s="93"/>
      <c r="AL4" s="93"/>
      <c r="AM4" s="93"/>
      <c r="AN4" s="93"/>
      <c r="AO4" s="93"/>
      <c r="AP4" s="93"/>
      <c r="AQ4" s="93"/>
      <c r="AR4" s="93"/>
      <c r="AS4" s="93"/>
      <c r="AT4" s="93"/>
      <c r="AU4" s="93"/>
      <c r="AV4" s="93"/>
      <c r="AW4" s="93"/>
    </row>
    <row r="5" spans="1:49" ht="16.5" customHeight="1" x14ac:dyDescent="0.2">
      <c r="A5" s="435" t="s">
        <v>229</v>
      </c>
      <c r="B5" s="436"/>
      <c r="C5" s="1093" t="str">
        <f>IF(Basisdaten!C11="","",Basisdaten!C11)</f>
        <v/>
      </c>
      <c r="D5" s="1093"/>
      <c r="E5" s="1093"/>
      <c r="F5" s="1093"/>
      <c r="G5" s="1093"/>
      <c r="H5" s="1094"/>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93"/>
      <c r="AJ5" s="93"/>
      <c r="AK5" s="93"/>
      <c r="AL5" s="93"/>
      <c r="AM5" s="93"/>
      <c r="AN5" s="93"/>
      <c r="AO5" s="93"/>
      <c r="AP5" s="93"/>
      <c r="AQ5" s="93"/>
      <c r="AR5" s="93"/>
      <c r="AS5" s="93"/>
      <c r="AT5" s="93"/>
      <c r="AU5" s="93"/>
      <c r="AV5" s="93"/>
      <c r="AW5" s="93"/>
    </row>
    <row r="6" spans="1:49" ht="16.5" customHeight="1" x14ac:dyDescent="0.2">
      <c r="A6" s="437"/>
      <c r="B6" s="438"/>
      <c r="C6" s="1107" t="str">
        <f>IF(Basisdaten!C12="","",Basisdaten!C12)</f>
        <v/>
      </c>
      <c r="D6" s="1107"/>
      <c r="E6" s="1107"/>
      <c r="F6" s="1107"/>
      <c r="G6" s="1107"/>
      <c r="H6" s="1108"/>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93"/>
      <c r="AJ6" s="93"/>
      <c r="AK6" s="93"/>
      <c r="AL6" s="93"/>
      <c r="AM6" s="93"/>
      <c r="AN6" s="93"/>
      <c r="AO6" s="93"/>
      <c r="AP6" s="93"/>
      <c r="AQ6" s="93"/>
      <c r="AR6" s="93"/>
      <c r="AS6" s="93"/>
      <c r="AT6" s="93"/>
      <c r="AU6" s="93"/>
      <c r="AV6" s="93"/>
      <c r="AW6" s="93"/>
    </row>
    <row r="7" spans="1:49" s="93" customFormat="1" ht="5.25" hidden="1" customHeight="1" x14ac:dyDescent="0.2">
      <c r="A7" s="338"/>
      <c r="B7" s="333"/>
      <c r="C7" s="333"/>
      <c r="D7" s="141"/>
      <c r="E7" s="141"/>
      <c r="F7" s="141"/>
      <c r="G7" s="141"/>
      <c r="H7" s="339"/>
      <c r="I7" s="155"/>
      <c r="J7" s="122"/>
      <c r="K7" s="127"/>
      <c r="L7" s="122"/>
      <c r="M7" s="122"/>
      <c r="N7" s="122"/>
      <c r="O7" s="122"/>
      <c r="P7" s="122"/>
      <c r="Q7" s="122"/>
      <c r="R7" s="122"/>
      <c r="S7" s="122"/>
      <c r="T7" s="128"/>
      <c r="U7" s="128"/>
      <c r="V7" s="128"/>
      <c r="W7" s="140"/>
      <c r="X7" s="111"/>
      <c r="Y7" s="111"/>
      <c r="Z7" s="111"/>
    </row>
    <row r="8" spans="1:49" ht="17.100000000000001" hidden="1" customHeight="1" x14ac:dyDescent="0.2">
      <c r="A8" s="2"/>
      <c r="B8" s="3"/>
      <c r="C8" s="4"/>
      <c r="D8" s="4"/>
      <c r="E8" s="4"/>
      <c r="F8" s="1060" t="e">
        <f>IF(AND(#REF!=TRUE,OR(K7=TRUE,L7=TRUE,M7=TRUE)),"Alternativenprüfung bezieht sich nur auf den Neubau",IF(OR(K7,L7,M7=TRUE),"keine Alternativenprüfung notwendig",""))</f>
        <v>#REF!</v>
      </c>
      <c r="G8" s="1060"/>
      <c r="H8" s="1061"/>
      <c r="J8" s="117"/>
      <c r="K8" s="116"/>
      <c r="L8" s="117"/>
      <c r="M8" s="117"/>
      <c r="N8" s="117"/>
      <c r="O8" s="117"/>
      <c r="P8" s="117"/>
      <c r="Q8" s="117"/>
      <c r="R8" s="117"/>
      <c r="S8" s="117"/>
      <c r="T8" s="114"/>
      <c r="U8" s="114"/>
      <c r="V8" s="114"/>
      <c r="W8" s="113"/>
      <c r="X8" s="112"/>
      <c r="Y8" s="112"/>
      <c r="Z8" s="110"/>
    </row>
    <row r="9" spans="1:49" ht="17.100000000000001" hidden="1" customHeight="1" x14ac:dyDescent="0.2">
      <c r="A9" s="2"/>
      <c r="B9" s="3"/>
      <c r="C9" s="4"/>
      <c r="D9" s="4"/>
      <c r="E9" s="4"/>
      <c r="F9" s="4"/>
      <c r="G9" s="992"/>
      <c r="H9" s="1032"/>
      <c r="J9" s="117"/>
      <c r="K9" s="117"/>
      <c r="L9" s="117"/>
      <c r="M9" s="117"/>
      <c r="N9" s="117"/>
      <c r="O9" s="117"/>
      <c r="P9" s="117"/>
      <c r="Q9" s="117"/>
      <c r="R9" s="117"/>
      <c r="S9" s="117"/>
      <c r="T9" s="114"/>
      <c r="U9" s="114"/>
      <c r="V9" s="114"/>
      <c r="W9" s="113"/>
      <c r="X9" s="112"/>
      <c r="Y9" s="112"/>
      <c r="Z9" s="110"/>
    </row>
    <row r="10" spans="1:49" s="93" customFormat="1" ht="7.5" hidden="1" customHeight="1" x14ac:dyDescent="0.2">
      <c r="A10" s="94"/>
      <c r="B10" s="1033"/>
      <c r="C10" s="1034"/>
      <c r="D10" s="1034"/>
      <c r="E10" s="1034"/>
      <c r="F10" s="1034"/>
      <c r="G10" s="1034"/>
      <c r="H10" s="1035"/>
      <c r="I10" s="155"/>
      <c r="J10" s="117"/>
      <c r="K10" s="117"/>
      <c r="L10" s="117"/>
      <c r="M10" s="117"/>
      <c r="N10" s="117"/>
      <c r="O10" s="117"/>
      <c r="P10" s="117"/>
      <c r="Q10" s="117"/>
      <c r="R10" s="117"/>
      <c r="S10" s="117"/>
      <c r="T10" s="114"/>
      <c r="U10" s="114"/>
      <c r="V10" s="114"/>
      <c r="W10" s="113"/>
      <c r="X10" s="112"/>
      <c r="Y10" s="112"/>
      <c r="Z10" s="111"/>
    </row>
    <row r="11" spans="1:49" ht="19.5" hidden="1" customHeight="1" x14ac:dyDescent="0.2">
      <c r="A11" s="2"/>
      <c r="B11" s="1026" t="s">
        <v>0</v>
      </c>
      <c r="C11" s="1027"/>
      <c r="D11" s="1027"/>
      <c r="E11" s="1027"/>
      <c r="F11" s="1027"/>
      <c r="G11" s="1027"/>
      <c r="H11" s="1028"/>
      <c r="J11" s="117"/>
      <c r="K11" s="118"/>
      <c r="L11" s="117"/>
      <c r="M11" s="117"/>
      <c r="N11" s="117"/>
      <c r="O11" s="117"/>
      <c r="P11" s="117"/>
      <c r="Q11" s="117"/>
      <c r="R11" s="117"/>
      <c r="S11" s="117"/>
      <c r="T11" s="114"/>
      <c r="U11" s="114"/>
      <c r="V11" s="114"/>
      <c r="W11" s="113"/>
      <c r="X11" s="112"/>
      <c r="Y11" s="112"/>
      <c r="Z11" s="110"/>
    </row>
    <row r="12" spans="1:49" ht="16.5" hidden="1" customHeight="1" x14ac:dyDescent="0.2">
      <c r="A12" s="2"/>
      <c r="B12" s="8"/>
      <c r="C12" s="17"/>
      <c r="D12" s="4"/>
      <c r="E12" s="4"/>
      <c r="F12" s="4"/>
      <c r="G12" s="4"/>
      <c r="H12" s="5"/>
      <c r="J12" s="117"/>
      <c r="K12" s="117"/>
      <c r="L12" s="117"/>
      <c r="M12" s="117"/>
      <c r="N12" s="117"/>
      <c r="O12" s="117"/>
      <c r="P12" s="117"/>
      <c r="Q12" s="117"/>
      <c r="R12" s="117"/>
      <c r="S12" s="117"/>
      <c r="T12" s="114"/>
      <c r="U12" s="114"/>
      <c r="V12" s="114"/>
      <c r="W12" s="113"/>
      <c r="X12" s="112"/>
      <c r="Y12" s="112"/>
      <c r="Z12" s="110"/>
    </row>
    <row r="13" spans="1:49" ht="17.100000000000001" hidden="1" customHeight="1" x14ac:dyDescent="0.2">
      <c r="A13" s="2"/>
      <c r="B13" s="8"/>
      <c r="C13" s="17"/>
      <c r="D13" s="4"/>
      <c r="E13" s="4"/>
      <c r="F13" s="4"/>
      <c r="G13" s="4"/>
      <c r="H13" s="5"/>
      <c r="J13" s="117"/>
      <c r="K13" s="117"/>
      <c r="L13" s="117"/>
      <c r="M13" s="117"/>
      <c r="N13" s="117"/>
      <c r="O13" s="117"/>
      <c r="P13" s="117"/>
      <c r="Q13" s="117"/>
      <c r="R13" s="117"/>
      <c r="S13" s="117"/>
      <c r="T13" s="114"/>
      <c r="U13" s="114"/>
      <c r="V13" s="114"/>
      <c r="W13" s="113"/>
      <c r="X13" s="112"/>
      <c r="Y13" s="112"/>
      <c r="Z13" s="110"/>
    </row>
    <row r="14" spans="1:49" ht="17.100000000000001" hidden="1" customHeight="1" x14ac:dyDescent="0.2">
      <c r="A14" s="2"/>
      <c r="B14" s="3"/>
      <c r="C14" s="4"/>
      <c r="D14" s="4"/>
      <c r="E14" s="4"/>
      <c r="F14" s="4"/>
      <c r="G14" s="4"/>
      <c r="H14" s="5"/>
      <c r="J14" s="117"/>
      <c r="K14" s="117"/>
      <c r="L14" s="117"/>
      <c r="M14" s="117"/>
      <c r="N14" s="117"/>
      <c r="O14" s="117"/>
      <c r="P14" s="117"/>
      <c r="Q14" s="117"/>
      <c r="R14" s="117"/>
      <c r="S14" s="117"/>
      <c r="T14" s="114"/>
      <c r="U14" s="114"/>
      <c r="V14" s="114"/>
      <c r="W14" s="113"/>
      <c r="X14" s="112"/>
      <c r="Y14" s="112"/>
      <c r="Z14" s="110"/>
    </row>
    <row r="15" spans="1:49" ht="17.100000000000001" hidden="1" customHeight="1" x14ac:dyDescent="0.2">
      <c r="A15" s="2"/>
      <c r="B15" s="3"/>
      <c r="C15" s="4"/>
      <c r="D15" s="14"/>
      <c r="E15" s="4"/>
      <c r="F15" s="1036"/>
      <c r="G15" s="1036"/>
      <c r="H15" s="1037"/>
      <c r="J15" s="117"/>
      <c r="K15" s="119"/>
      <c r="L15" s="117"/>
      <c r="M15" s="117"/>
      <c r="N15" s="117"/>
      <c r="O15" s="117"/>
      <c r="P15" s="117"/>
      <c r="Q15" s="117"/>
      <c r="R15" s="117"/>
      <c r="S15" s="117"/>
      <c r="T15" s="114"/>
      <c r="U15" s="114"/>
      <c r="V15" s="114"/>
      <c r="W15" s="113"/>
      <c r="X15" s="112"/>
      <c r="Y15" s="112"/>
      <c r="Z15" s="110"/>
    </row>
    <row r="16" spans="1:49" ht="7.5" hidden="1" customHeight="1" x14ac:dyDescent="0.2">
      <c r="A16" s="2"/>
      <c r="B16" s="6"/>
      <c r="C16" s="7"/>
      <c r="D16" s="52"/>
      <c r="E16" s="7"/>
      <c r="F16" s="53"/>
      <c r="G16" s="108"/>
      <c r="H16" s="109"/>
      <c r="J16" s="117"/>
      <c r="K16" s="117"/>
      <c r="L16" s="117"/>
      <c r="M16" s="117"/>
      <c r="N16" s="117"/>
      <c r="O16" s="117"/>
      <c r="P16" s="117"/>
      <c r="Q16" s="117"/>
      <c r="R16" s="117"/>
      <c r="S16" s="117"/>
      <c r="T16" s="114"/>
      <c r="U16" s="114"/>
      <c r="V16" s="114"/>
      <c r="W16" s="113"/>
      <c r="X16" s="112"/>
      <c r="Y16" s="112"/>
      <c r="Z16" s="110"/>
    </row>
    <row r="17" spans="1:26" ht="17.100000000000001" hidden="1" customHeight="1" x14ac:dyDescent="0.2">
      <c r="A17" s="15">
        <v>2</v>
      </c>
      <c r="B17" s="1026" t="s">
        <v>151</v>
      </c>
      <c r="C17" s="1027"/>
      <c r="D17" s="1027"/>
      <c r="E17" s="1027"/>
      <c r="F17" s="1038" t="str">
        <f>IF(D22&gt;N23,"Heizwärmebedarf: Anforderung TBO nicht erfüllt!","")</f>
        <v/>
      </c>
      <c r="G17" s="1038"/>
      <c r="H17" s="1039"/>
      <c r="J17" s="117"/>
      <c r="K17" s="117"/>
      <c r="L17" s="117"/>
      <c r="M17" s="117"/>
      <c r="N17" s="117"/>
      <c r="O17" s="117"/>
      <c r="P17" s="117"/>
      <c r="Q17" s="117"/>
      <c r="R17" s="117"/>
      <c r="S17" s="117"/>
      <c r="T17" s="114"/>
      <c r="U17" s="114"/>
      <c r="V17" s="114"/>
      <c r="W17" s="113"/>
      <c r="X17" s="112"/>
      <c r="Y17" s="112"/>
      <c r="Z17" s="110"/>
    </row>
    <row r="18" spans="1:26" ht="17.100000000000001" hidden="1" customHeight="1" x14ac:dyDescent="0.2">
      <c r="A18" s="2"/>
      <c r="B18" s="233" t="s">
        <v>87</v>
      </c>
      <c r="C18" s="4"/>
      <c r="D18" s="523">
        <f>Basisdaten!D29</f>
        <v>0</v>
      </c>
      <c r="E18" s="255"/>
      <c r="F18" s="277" t="s">
        <v>89</v>
      </c>
      <c r="G18" s="520">
        <f>Basisdaten!G29</f>
        <v>0</v>
      </c>
      <c r="H18" s="401" t="s">
        <v>94</v>
      </c>
      <c r="J18" s="117"/>
      <c r="K18" s="117"/>
      <c r="L18" s="117"/>
      <c r="M18" s="117"/>
      <c r="N18" s="117"/>
      <c r="O18" s="117"/>
      <c r="P18" s="117"/>
      <c r="Q18" s="117"/>
      <c r="R18" s="117"/>
      <c r="S18" s="117"/>
      <c r="T18" s="114"/>
      <c r="U18" s="114"/>
      <c r="V18" s="114"/>
      <c r="W18" s="113"/>
      <c r="X18" s="112"/>
      <c r="Y18" s="112"/>
      <c r="Z18" s="110"/>
    </row>
    <row r="19" spans="1:26" ht="10.5" hidden="1" customHeight="1" x14ac:dyDescent="0.2">
      <c r="A19" s="2"/>
      <c r="B19" s="18"/>
      <c r="C19" s="18"/>
      <c r="D19" s="4"/>
      <c r="E19" s="255"/>
      <c r="F19" s="237" t="s">
        <v>149</v>
      </c>
      <c r="G19" s="4"/>
      <c r="H19" s="401"/>
      <c r="J19" s="117"/>
      <c r="K19" s="117"/>
      <c r="L19" s="117"/>
      <c r="M19" s="117"/>
      <c r="N19" s="117"/>
      <c r="O19" s="117"/>
      <c r="P19" s="117"/>
      <c r="Q19" s="117"/>
      <c r="R19" s="117"/>
      <c r="S19" s="117"/>
      <c r="T19" s="114"/>
      <c r="U19" s="114"/>
      <c r="V19" s="114"/>
      <c r="W19" s="113"/>
      <c r="X19" s="112"/>
      <c r="Y19" s="112"/>
      <c r="Z19" s="110"/>
    </row>
    <row r="20" spans="1:26" ht="17.100000000000001" hidden="1" customHeight="1" x14ac:dyDescent="0.35">
      <c r="A20" s="2"/>
      <c r="B20" s="3" t="s">
        <v>150</v>
      </c>
      <c r="C20" s="4"/>
      <c r="D20" s="524">
        <f>Basisdaten!D31</f>
        <v>0</v>
      </c>
      <c r="E20" s="255"/>
      <c r="F20" s="230" t="s">
        <v>90</v>
      </c>
      <c r="G20" s="521">
        <f>Basisdaten!G31</f>
        <v>0</v>
      </c>
      <c r="H20" s="401" t="s">
        <v>236</v>
      </c>
      <c r="J20" s="117"/>
      <c r="K20" s="117"/>
      <c r="L20" s="117"/>
      <c r="M20" s="117"/>
      <c r="N20" s="117"/>
      <c r="O20" s="117"/>
      <c r="P20" s="117"/>
      <c r="Q20" s="117"/>
      <c r="R20" s="117"/>
      <c r="S20" s="117"/>
      <c r="T20" s="114"/>
      <c r="U20" s="114"/>
      <c r="V20" s="114"/>
      <c r="W20" s="113"/>
      <c r="X20" s="112"/>
      <c r="Y20" s="112"/>
      <c r="Z20" s="110"/>
    </row>
    <row r="21" spans="1:26" ht="10.5" hidden="1" customHeight="1" x14ac:dyDescent="0.2">
      <c r="A21" s="2"/>
      <c r="B21" s="18"/>
      <c r="C21" s="18"/>
      <c r="D21" s="64"/>
      <c r="E21" s="255"/>
      <c r="F21" s="237" t="s">
        <v>149</v>
      </c>
      <c r="G21" s="65"/>
      <c r="H21" s="401"/>
      <c r="J21" s="117"/>
      <c r="K21" s="117"/>
      <c r="L21" s="117"/>
      <c r="M21" s="117" t="s">
        <v>153</v>
      </c>
      <c r="N21" s="117"/>
      <c r="O21" s="117"/>
      <c r="P21" s="117"/>
      <c r="Q21" s="117"/>
      <c r="R21" s="117"/>
      <c r="S21" s="117"/>
      <c r="T21" s="114"/>
      <c r="U21" s="114"/>
      <c r="V21" s="114"/>
      <c r="W21" s="113"/>
      <c r="X21" s="112"/>
      <c r="Y21" s="112"/>
      <c r="Z21" s="110"/>
    </row>
    <row r="22" spans="1:26" ht="17.100000000000001" hidden="1" customHeight="1" x14ac:dyDescent="0.3">
      <c r="A22" s="2"/>
      <c r="B22" s="3" t="s">
        <v>238</v>
      </c>
      <c r="C22" s="4"/>
      <c r="D22" s="520">
        <f>Basisdaten!D33</f>
        <v>0</v>
      </c>
      <c r="E22" s="255"/>
      <c r="F22" s="277" t="s">
        <v>91</v>
      </c>
      <c r="G22" s="522">
        <f>Basisdaten!G33</f>
        <v>0</v>
      </c>
      <c r="H22" s="401" t="s">
        <v>237</v>
      </c>
      <c r="J22" s="117"/>
      <c r="K22" s="239" t="s">
        <v>152</v>
      </c>
      <c r="L22" s="340">
        <f>10*(1+3*D20)</f>
        <v>10</v>
      </c>
      <c r="M22" s="341" t="str">
        <f>IF(AND(D22&gt;0,D22&lt;=L22),"ja",IF(D22&gt;L22,"nein",""))</f>
        <v/>
      </c>
      <c r="N22" s="117"/>
      <c r="O22" s="117"/>
      <c r="P22" s="117"/>
      <c r="Q22" s="117"/>
      <c r="R22" s="117"/>
      <c r="S22" s="117"/>
      <c r="T22" s="114"/>
      <c r="U22" s="114"/>
      <c r="V22" s="114"/>
      <c r="W22" s="113"/>
      <c r="X22" s="112"/>
      <c r="Y22" s="112"/>
      <c r="Z22" s="110"/>
    </row>
    <row r="23" spans="1:26" ht="12" hidden="1" customHeight="1" x14ac:dyDescent="0.2">
      <c r="A23" s="2"/>
      <c r="B23" s="18" t="s">
        <v>110</v>
      </c>
      <c r="C23" s="4"/>
      <c r="D23" s="477"/>
      <c r="E23" s="255"/>
      <c r="F23" s="237" t="s">
        <v>148</v>
      </c>
      <c r="G23" s="4"/>
      <c r="H23" s="401"/>
      <c r="J23" s="117"/>
      <c r="K23" s="239" t="s">
        <v>252</v>
      </c>
      <c r="L23" s="476">
        <f>16*(1+3*D20)</f>
        <v>16</v>
      </c>
      <c r="M23" s="117">
        <v>54.4</v>
      </c>
      <c r="N23" s="117">
        <f>IF(L23&lt;M23,L23,M23)</f>
        <v>16</v>
      </c>
      <c r="O23" s="117"/>
      <c r="P23" s="117"/>
      <c r="Q23" s="117"/>
      <c r="R23" s="117"/>
      <c r="S23" s="117"/>
      <c r="T23" s="114"/>
      <c r="U23" s="114"/>
      <c r="V23" s="114"/>
      <c r="W23" s="113"/>
      <c r="X23" s="112"/>
      <c r="Y23" s="112"/>
      <c r="Z23" s="110"/>
    </row>
    <row r="24" spans="1:26" ht="17.100000000000001" hidden="1" customHeight="1" x14ac:dyDescent="0.2">
      <c r="A24" s="2"/>
      <c r="B24" s="233" t="s">
        <v>145</v>
      </c>
      <c r="C24" s="230"/>
      <c r="D24" s="520">
        <f>Basisdaten!D37</f>
        <v>0</v>
      </c>
      <c r="E24" s="255"/>
      <c r="F24" s="230" t="s">
        <v>147</v>
      </c>
      <c r="G24" s="520">
        <f>Basisdaten!G37</f>
        <v>0</v>
      </c>
      <c r="H24" s="401" t="s">
        <v>239</v>
      </c>
      <c r="J24" s="117"/>
      <c r="K24" s="240" t="s">
        <v>156</v>
      </c>
      <c r="L24" s="117"/>
      <c r="M24" s="117"/>
      <c r="N24" s="117"/>
      <c r="O24" s="117"/>
      <c r="P24" s="117"/>
      <c r="Q24" s="117"/>
      <c r="R24" s="117"/>
      <c r="S24" s="117"/>
      <c r="T24" s="114"/>
      <c r="U24" s="114"/>
      <c r="V24" s="114"/>
      <c r="W24" s="113"/>
      <c r="X24" s="112"/>
      <c r="Y24" s="112"/>
      <c r="Z24" s="110"/>
    </row>
    <row r="25" spans="1:26" ht="9" hidden="1" customHeight="1" x14ac:dyDescent="0.2">
      <c r="A25" s="9"/>
      <c r="B25" s="18" t="s">
        <v>149</v>
      </c>
      <c r="C25" s="4"/>
      <c r="D25" s="14"/>
      <c r="E25" s="4"/>
      <c r="F25" s="237"/>
      <c r="G25" s="72"/>
      <c r="H25" s="73"/>
      <c r="J25" s="119"/>
      <c r="K25" s="119"/>
      <c r="L25" s="119"/>
      <c r="M25" s="119"/>
      <c r="N25" s="119"/>
      <c r="O25" s="119"/>
      <c r="P25" s="117"/>
      <c r="Q25" s="117"/>
      <c r="R25" s="117"/>
      <c r="S25" s="117"/>
      <c r="T25" s="114"/>
      <c r="U25" s="114"/>
      <c r="V25" s="114"/>
      <c r="W25" s="113"/>
      <c r="X25" s="112"/>
      <c r="Y25" s="112"/>
      <c r="Z25" s="110"/>
    </row>
    <row r="26" spans="1:26" ht="19.5" hidden="1" customHeight="1" x14ac:dyDescent="0.2">
      <c r="A26" s="15">
        <v>3</v>
      </c>
      <c r="B26" s="1026" t="s">
        <v>255</v>
      </c>
      <c r="C26" s="1027"/>
      <c r="D26" s="1027"/>
      <c r="E26" s="1027"/>
      <c r="F26" s="1027"/>
      <c r="G26" s="1027"/>
      <c r="H26" s="1028"/>
      <c r="J26" s="119"/>
      <c r="K26" s="119"/>
      <c r="L26" s="119"/>
      <c r="M26" s="119"/>
      <c r="N26" s="119"/>
      <c r="O26" s="119"/>
      <c r="P26" s="117"/>
      <c r="Q26" s="117"/>
      <c r="R26" s="117"/>
      <c r="S26" s="117"/>
      <c r="T26" s="114"/>
      <c r="U26" s="114"/>
      <c r="V26" s="114"/>
      <c r="W26" s="113"/>
      <c r="X26" s="112"/>
      <c r="Y26" s="112"/>
      <c r="Z26" s="110"/>
    </row>
    <row r="27" spans="1:26" ht="17.100000000000001" hidden="1" customHeight="1" x14ac:dyDescent="0.2">
      <c r="A27" s="2"/>
      <c r="B27" s="8"/>
      <c r="C27" s="17"/>
      <c r="D27" s="4"/>
      <c r="E27" s="4"/>
      <c r="F27" s="4"/>
      <c r="G27" s="4"/>
      <c r="H27" s="5"/>
      <c r="J27" s="195"/>
      <c r="K27" s="197" t="str">
        <f>IF(Basisdaten!K40=TRUE,"WAHR","FALSCH")</f>
        <v>FALSCH</v>
      </c>
      <c r="L27" s="197"/>
      <c r="M27" s="197"/>
      <c r="N27" s="197"/>
      <c r="O27" s="197"/>
      <c r="P27" s="198"/>
      <c r="Q27" s="117"/>
      <c r="R27" s="117"/>
      <c r="S27" s="117"/>
      <c r="T27" s="114"/>
      <c r="U27" s="114"/>
      <c r="V27" s="114"/>
      <c r="W27" s="113"/>
      <c r="X27" s="112"/>
      <c r="Y27" s="112"/>
      <c r="Z27" s="110"/>
    </row>
    <row r="28" spans="1:26" ht="17.100000000000001" hidden="1" customHeight="1" x14ac:dyDescent="0.2">
      <c r="A28" s="2"/>
      <c r="B28" s="8"/>
      <c r="C28" s="17"/>
      <c r="D28" s="4"/>
      <c r="E28" s="4"/>
      <c r="F28" s="4"/>
      <c r="G28" s="4"/>
      <c r="H28" s="5"/>
      <c r="J28" s="203" t="s">
        <v>76</v>
      </c>
      <c r="K28" s="119" t="str">
        <f>IF(Basisdaten!K41=TRUE,"WAHR","FALSCH")</f>
        <v>FALSCH</v>
      </c>
      <c r="L28" s="119" t="str">
        <f>IF(Basisdaten!L41=TRUE,"WAHR","FALSCH")</f>
        <v>FALSCH</v>
      </c>
      <c r="M28" s="119" t="str">
        <f>IF(Basisdaten!M41=TRUE,"WAHR","FALSCH")</f>
        <v>FALSCH</v>
      </c>
      <c r="N28" s="119" t="str">
        <f>IF(Basisdaten!N41=TRUE,"WAHR","FALSCH")</f>
        <v>FALSCH</v>
      </c>
      <c r="O28" s="119"/>
      <c r="P28" s="204"/>
      <c r="Q28" s="117"/>
      <c r="R28" s="117"/>
      <c r="S28" s="117"/>
      <c r="T28" s="114"/>
      <c r="U28" s="114"/>
      <c r="V28" s="114"/>
      <c r="W28" s="113"/>
      <c r="X28" s="112"/>
      <c r="Y28" s="112"/>
      <c r="Z28" s="110"/>
    </row>
    <row r="29" spans="1:26" ht="17.100000000000001" hidden="1" customHeight="1" x14ac:dyDescent="0.2">
      <c r="A29" s="2"/>
      <c r="B29" s="8"/>
      <c r="C29" s="17"/>
      <c r="D29" s="4"/>
      <c r="E29" s="4"/>
      <c r="F29" s="495" t="str">
        <f>IF(K45=TRUE,"Dimensionierung der Anlage ist beizulegen","")</f>
        <v/>
      </c>
      <c r="G29" s="4"/>
      <c r="H29" s="5"/>
      <c r="J29" s="203"/>
      <c r="N29" s="119"/>
      <c r="O29" s="119"/>
      <c r="P29" s="204"/>
      <c r="Q29" s="117"/>
      <c r="R29" s="117"/>
      <c r="S29" s="117"/>
      <c r="T29" s="114"/>
      <c r="U29" s="114"/>
      <c r="V29" s="114"/>
      <c r="W29" s="113"/>
      <c r="Z29" s="110"/>
    </row>
    <row r="30" spans="1:26" ht="7.5" hidden="1" customHeight="1" x14ac:dyDescent="0.2">
      <c r="A30" s="2"/>
      <c r="B30" s="8"/>
      <c r="C30" s="17"/>
      <c r="D30" s="4"/>
      <c r="E30" s="66"/>
      <c r="F30" s="66"/>
      <c r="G30" s="4"/>
      <c r="H30" s="5"/>
      <c r="J30" s="205"/>
      <c r="K30" s="119"/>
      <c r="L30" s="119"/>
      <c r="M30" s="119"/>
      <c r="N30" s="119"/>
      <c r="O30" s="119"/>
      <c r="P30" s="204"/>
      <c r="Q30" s="117"/>
      <c r="R30" s="117"/>
      <c r="S30" s="117"/>
      <c r="T30" s="114"/>
      <c r="U30" s="114"/>
      <c r="V30" s="114"/>
      <c r="W30" s="113"/>
      <c r="X30" s="112"/>
      <c r="Y30" s="112"/>
      <c r="Z30" s="110"/>
    </row>
    <row r="31" spans="1:26" ht="17.100000000000001" hidden="1" customHeight="1" x14ac:dyDescent="0.2">
      <c r="A31" s="2"/>
      <c r="B31" s="8"/>
      <c r="C31" s="17"/>
      <c r="D31" s="4"/>
      <c r="E31" s="4"/>
      <c r="F31" s="4"/>
      <c r="G31" s="57" t="str">
        <f>IF(AND(D22&lt;=25,OR(K32,L32,M32,N32=TRUE),G32&gt;=2,G32&lt;3),"JAZ ausreichend",IF(AND(G32&lt;3,G32&gt;0,OR(K32,L32,M32,N32)=TRUE),"JAZ zu gering",IF(AND(G32&gt;=3,OR(K32,L32,M32,N32)=TRUE),"JAZ ausreichend",IF(OR(K32,L32,M32,N32),"bitte JAZ angeben!"," "))))</f>
        <v xml:space="preserve"> </v>
      </c>
      <c r="H31" s="5"/>
      <c r="K31" s="122" t="s">
        <v>257</v>
      </c>
      <c r="L31" s="122" t="str">
        <f>IF(AND(D22&gt;0,D22&lt;=25,OR(K32,L32,M32,N32=TRUE),G32&gt;=2,G32&lt;3),1,IF(AND(G32&lt;3,G32&gt;0,OR(K32,L32,M32,N32)=TRUE),0,IF(AND(G32&gt;=3,OR(K32,L32,M32,N32)=TRUE),1," ")))</f>
        <v xml:space="preserve"> </v>
      </c>
      <c r="O31" s="119"/>
      <c r="P31" s="204"/>
      <c r="Q31" s="117"/>
      <c r="R31" s="117"/>
      <c r="S31" s="117"/>
      <c r="T31" s="114"/>
      <c r="U31" s="114"/>
      <c r="V31" s="114"/>
      <c r="W31" s="113"/>
      <c r="X31" s="112"/>
      <c r="Y31" s="112"/>
      <c r="Z31" s="110"/>
    </row>
    <row r="32" spans="1:26" ht="17.100000000000001" hidden="1" customHeight="1" x14ac:dyDescent="0.2">
      <c r="A32" s="2"/>
      <c r="B32" s="8"/>
      <c r="C32" s="17"/>
      <c r="D32" s="4"/>
      <c r="E32" s="4"/>
      <c r="F32" s="19" t="s">
        <v>27</v>
      </c>
      <c r="G32" s="525">
        <f>Basisdaten!G45</f>
        <v>0</v>
      </c>
      <c r="H32" s="5"/>
      <c r="J32" s="203" t="s">
        <v>77</v>
      </c>
      <c r="K32" s="119" t="b">
        <v>0</v>
      </c>
      <c r="L32" s="119" t="b">
        <v>0</v>
      </c>
      <c r="M32" s="119" t="b">
        <v>0</v>
      </c>
      <c r="N32" s="119" t="b">
        <v>0</v>
      </c>
      <c r="O32" s="119"/>
      <c r="P32" s="204"/>
      <c r="Q32" s="117"/>
      <c r="R32" s="117"/>
      <c r="S32" s="117"/>
      <c r="T32" s="114"/>
      <c r="U32" s="114"/>
      <c r="V32" s="114"/>
      <c r="W32" s="113"/>
      <c r="X32" s="112"/>
      <c r="Y32" s="112"/>
      <c r="Z32" s="110"/>
    </row>
    <row r="33" spans="1:26" ht="7.5" hidden="1" customHeight="1" x14ac:dyDescent="0.2">
      <c r="A33" s="2"/>
      <c r="B33" s="8"/>
      <c r="C33" s="17"/>
      <c r="D33" s="4"/>
      <c r="E33" s="4"/>
      <c r="F33" s="4"/>
      <c r="G33" s="4"/>
      <c r="H33" s="5"/>
      <c r="J33" s="205"/>
      <c r="K33" s="119"/>
      <c r="L33" s="119"/>
      <c r="M33" s="119"/>
      <c r="N33" s="119"/>
      <c r="O33" s="119"/>
      <c r="P33" s="204"/>
      <c r="Q33" s="117"/>
      <c r="R33" s="117"/>
      <c r="S33" s="117"/>
      <c r="T33" s="114"/>
      <c r="U33" s="114"/>
      <c r="V33" s="114"/>
      <c r="W33" s="113"/>
      <c r="X33" s="112"/>
      <c r="Y33" s="112"/>
      <c r="Z33" s="110"/>
    </row>
    <row r="34" spans="1:26" ht="17.100000000000001" hidden="1" customHeight="1" x14ac:dyDescent="0.2">
      <c r="A34" s="2"/>
      <c r="B34" s="8"/>
      <c r="C34" s="17"/>
      <c r="D34" s="4"/>
      <c r="E34" s="4"/>
      <c r="F34" s="4"/>
      <c r="G34" s="4"/>
      <c r="H34" s="5"/>
      <c r="J34" s="205"/>
      <c r="K34" s="119"/>
      <c r="L34" s="119"/>
      <c r="M34" s="119"/>
      <c r="N34" s="119"/>
      <c r="O34" s="119"/>
      <c r="P34" s="204"/>
      <c r="Q34" s="117"/>
      <c r="R34" s="117"/>
      <c r="S34" s="117"/>
      <c r="T34" s="114"/>
      <c r="U34" s="114"/>
      <c r="V34" s="114"/>
      <c r="W34" s="113"/>
      <c r="X34" s="112"/>
      <c r="Y34" s="112"/>
      <c r="Z34" s="110"/>
    </row>
    <row r="35" spans="1:26" ht="17.100000000000001" hidden="1" customHeight="1" x14ac:dyDescent="0.2">
      <c r="A35" s="2"/>
      <c r="B35" s="8"/>
      <c r="C35" s="17"/>
      <c r="D35" s="4"/>
      <c r="E35" s="4"/>
      <c r="F35" s="4"/>
      <c r="G35" s="4"/>
      <c r="H35" s="5"/>
      <c r="J35" s="203" t="s">
        <v>79</v>
      </c>
      <c r="K35" s="119" t="b">
        <v>0</v>
      </c>
      <c r="L35" s="119" t="b">
        <v>0</v>
      </c>
      <c r="M35" s="119"/>
      <c r="N35" s="119"/>
      <c r="O35" s="119"/>
      <c r="P35" s="204"/>
      <c r="Q35" s="117"/>
      <c r="R35" s="117"/>
      <c r="S35" s="117"/>
      <c r="T35" s="114"/>
      <c r="U35" s="114"/>
      <c r="V35" s="114"/>
      <c r="W35" s="113"/>
      <c r="X35" s="112"/>
      <c r="Y35" s="112"/>
      <c r="Z35" s="110"/>
    </row>
    <row r="36" spans="1:26" ht="7.5" hidden="1" customHeight="1" x14ac:dyDescent="0.2">
      <c r="A36" s="2"/>
      <c r="B36" s="8"/>
      <c r="C36" s="17"/>
      <c r="D36" s="4"/>
      <c r="E36" s="4"/>
      <c r="F36" s="4"/>
      <c r="G36" s="4"/>
      <c r="H36" s="5"/>
      <c r="J36" s="205"/>
      <c r="K36" s="119"/>
      <c r="L36" s="119"/>
      <c r="M36" s="119"/>
      <c r="N36" s="119"/>
      <c r="O36" s="119"/>
      <c r="P36" s="204"/>
      <c r="Q36" s="117"/>
      <c r="R36" s="117"/>
      <c r="S36" s="117"/>
      <c r="T36" s="114"/>
      <c r="U36" s="114"/>
      <c r="V36" s="114"/>
      <c r="W36" s="113"/>
      <c r="X36" s="112"/>
      <c r="Y36" s="112"/>
      <c r="Z36" s="110"/>
    </row>
    <row r="37" spans="1:26" ht="17.100000000000001" hidden="1" customHeight="1" x14ac:dyDescent="0.2">
      <c r="A37" s="2"/>
      <c r="B37" s="3"/>
      <c r="C37" s="4"/>
      <c r="D37" s="4"/>
      <c r="E37" s="4"/>
      <c r="F37" s="4"/>
      <c r="G37" s="4"/>
      <c r="H37" s="5"/>
      <c r="J37" s="203" t="s">
        <v>86</v>
      </c>
      <c r="K37" s="119" t="b">
        <v>0</v>
      </c>
      <c r="L37" s="119" t="b">
        <v>0</v>
      </c>
      <c r="M37" s="119" t="b">
        <v>0</v>
      </c>
      <c r="N37" s="119"/>
      <c r="O37" s="119"/>
      <c r="P37" s="204"/>
      <c r="Q37" s="117"/>
      <c r="R37" s="117"/>
      <c r="S37" s="117"/>
      <c r="T37" s="114"/>
      <c r="U37" s="114"/>
      <c r="V37" s="114"/>
      <c r="W37" s="113"/>
      <c r="X37" s="112"/>
      <c r="Y37" s="112"/>
      <c r="Z37" s="110"/>
    </row>
    <row r="38" spans="1:26" ht="17.100000000000001" hidden="1" customHeight="1" x14ac:dyDescent="0.2">
      <c r="A38" s="2"/>
      <c r="B38" s="3"/>
      <c r="C38" s="4"/>
      <c r="D38" s="4"/>
      <c r="E38" s="4"/>
      <c r="F38" s="19"/>
      <c r="G38" s="4"/>
      <c r="H38" s="5"/>
      <c r="J38" s="205"/>
      <c r="K38" s="119"/>
      <c r="L38" s="119"/>
      <c r="M38" s="119"/>
      <c r="N38" s="119"/>
      <c r="O38" s="119"/>
      <c r="P38" s="204"/>
      <c r="Q38" s="117"/>
      <c r="R38" s="117"/>
      <c r="S38" s="117"/>
      <c r="T38" s="114"/>
      <c r="U38" s="114"/>
      <c r="V38" s="114"/>
      <c r="W38" s="113"/>
      <c r="X38" s="112"/>
      <c r="Y38" s="112"/>
      <c r="Z38" s="110"/>
    </row>
    <row r="39" spans="1:26" ht="7.5" hidden="1" customHeight="1" x14ac:dyDescent="0.2">
      <c r="A39" s="2"/>
      <c r="B39" s="3"/>
      <c r="C39" s="4"/>
      <c r="D39" s="4"/>
      <c r="E39" s="4"/>
      <c r="F39" s="19"/>
      <c r="G39" s="4"/>
      <c r="H39" s="5"/>
      <c r="J39" s="205"/>
      <c r="K39" s="119"/>
      <c r="L39" s="119"/>
      <c r="M39" s="119"/>
      <c r="N39" s="119"/>
      <c r="O39" s="119"/>
      <c r="P39" s="204"/>
      <c r="Q39" s="117"/>
      <c r="R39" s="117"/>
      <c r="S39" s="117"/>
      <c r="T39" s="114"/>
      <c r="U39" s="114"/>
      <c r="V39" s="114"/>
      <c r="W39" s="113"/>
      <c r="X39" s="112"/>
      <c r="Y39" s="112"/>
      <c r="Z39" s="110"/>
    </row>
    <row r="40" spans="1:26" ht="17.100000000000001" hidden="1" customHeight="1" x14ac:dyDescent="0.2">
      <c r="A40" s="2"/>
      <c r="B40" s="3"/>
      <c r="C40" s="4"/>
      <c r="D40" s="4"/>
      <c r="E40" s="4"/>
      <c r="F40" s="19"/>
      <c r="G40" s="4"/>
      <c r="H40" s="5"/>
      <c r="J40" s="205"/>
      <c r="K40" s="119" t="b">
        <v>0</v>
      </c>
      <c r="L40" s="119"/>
      <c r="M40" s="119"/>
      <c r="N40" s="119"/>
      <c r="O40" s="119"/>
      <c r="P40" s="204"/>
      <c r="Q40" s="117"/>
      <c r="R40" s="117"/>
      <c r="S40" s="117"/>
      <c r="T40" s="114"/>
      <c r="U40" s="114"/>
      <c r="V40" s="114"/>
      <c r="W40" s="113"/>
      <c r="X40" s="112"/>
      <c r="Y40" s="112"/>
      <c r="Z40" s="110"/>
    </row>
    <row r="41" spans="1:26" ht="17.100000000000001" hidden="1" customHeight="1" x14ac:dyDescent="0.2">
      <c r="A41" s="2"/>
      <c r="B41" s="3"/>
      <c r="C41" s="4"/>
      <c r="D41" s="4"/>
      <c r="E41" s="4"/>
      <c r="F41" s="19"/>
      <c r="G41" s="4"/>
      <c r="H41" s="5"/>
      <c r="J41" s="205" t="s">
        <v>28</v>
      </c>
      <c r="K41" s="119" t="b">
        <v>0</v>
      </c>
      <c r="L41" s="119" t="b">
        <v>1</v>
      </c>
      <c r="M41" s="119" t="b">
        <v>0</v>
      </c>
      <c r="N41" s="119" t="b">
        <v>0</v>
      </c>
      <c r="O41" s="119" t="b">
        <v>0</v>
      </c>
      <c r="P41" s="204"/>
      <c r="Q41" s="117"/>
      <c r="R41" s="117"/>
      <c r="S41" s="117"/>
      <c r="T41" s="114"/>
      <c r="U41" s="114"/>
      <c r="V41" s="114"/>
      <c r="W41" s="113"/>
      <c r="X41" s="112"/>
      <c r="Y41" s="112"/>
      <c r="Z41" s="110"/>
    </row>
    <row r="42" spans="1:26" ht="17.100000000000001" hidden="1" customHeight="1" x14ac:dyDescent="0.2">
      <c r="A42" s="2"/>
      <c r="B42" s="3"/>
      <c r="C42" s="4"/>
      <c r="D42" s="4"/>
      <c r="E42" s="4"/>
      <c r="F42" s="19"/>
      <c r="G42" s="1029"/>
      <c r="H42" s="1030"/>
      <c r="J42" s="205"/>
      <c r="K42" s="119" t="b">
        <v>0</v>
      </c>
      <c r="L42" s="119"/>
      <c r="M42" s="119"/>
      <c r="N42" s="119"/>
      <c r="O42" s="119"/>
      <c r="P42" s="204"/>
      <c r="Q42" s="117"/>
      <c r="R42" s="117"/>
      <c r="S42" s="117"/>
      <c r="T42" s="114"/>
      <c r="U42" s="114"/>
      <c r="V42" s="114"/>
      <c r="W42" s="113"/>
      <c r="X42" s="112"/>
      <c r="Y42" s="112"/>
      <c r="Z42" s="110"/>
    </row>
    <row r="43" spans="1:26" ht="9.75" hidden="1" customHeight="1" x14ac:dyDescent="0.2">
      <c r="A43" s="2"/>
      <c r="B43" s="3"/>
      <c r="C43" s="4"/>
      <c r="D43" s="4"/>
      <c r="E43" s="4"/>
      <c r="F43" s="19"/>
      <c r="G43" s="489"/>
      <c r="H43" s="490"/>
      <c r="J43" s="205"/>
      <c r="K43" s="119"/>
      <c r="L43" s="119"/>
      <c r="M43" s="119"/>
      <c r="N43" s="119"/>
      <c r="O43" s="119"/>
      <c r="P43" s="204"/>
      <c r="Q43" s="117"/>
      <c r="R43" s="117"/>
      <c r="S43" s="117"/>
      <c r="T43" s="114"/>
      <c r="U43" s="114"/>
      <c r="V43" s="114"/>
      <c r="W43" s="113"/>
      <c r="X43" s="112"/>
      <c r="Y43" s="112"/>
      <c r="Z43" s="110"/>
    </row>
    <row r="44" spans="1:26" ht="17.100000000000001" hidden="1" customHeight="1" x14ac:dyDescent="0.25">
      <c r="A44" s="2"/>
      <c r="B44" s="268" t="s">
        <v>258</v>
      </c>
      <c r="C44" s="4"/>
      <c r="D44" s="4"/>
      <c r="E44" s="4"/>
      <c r="F44" s="19"/>
      <c r="G44" s="491"/>
      <c r="H44" s="492"/>
      <c r="J44" s="205"/>
      <c r="K44" s="119"/>
      <c r="L44" s="119"/>
      <c r="M44" s="119"/>
      <c r="N44" s="119"/>
      <c r="O44" s="119"/>
      <c r="P44" s="204"/>
      <c r="Q44" s="117"/>
      <c r="R44" s="117"/>
      <c r="S44" s="117"/>
      <c r="T44" s="114"/>
      <c r="U44" s="114"/>
      <c r="V44" s="114"/>
      <c r="W44" s="113"/>
      <c r="X44" s="112"/>
      <c r="Y44" s="112"/>
      <c r="Z44" s="110"/>
    </row>
    <row r="45" spans="1:26" ht="17.100000000000001" hidden="1" customHeight="1" x14ac:dyDescent="0.2">
      <c r="A45" s="2"/>
      <c r="B45" s="3"/>
      <c r="C45" s="4"/>
      <c r="D45" s="4"/>
      <c r="E45" s="4"/>
      <c r="F45" s="19"/>
      <c r="G45" s="491"/>
      <c r="H45" s="492"/>
      <c r="J45" s="205" t="s">
        <v>29</v>
      </c>
      <c r="K45" s="119" t="b">
        <v>0</v>
      </c>
      <c r="L45" s="119" t="b">
        <v>0</v>
      </c>
      <c r="M45" s="119" t="b">
        <v>1</v>
      </c>
      <c r="N45" s="119"/>
      <c r="O45" s="119"/>
      <c r="P45" s="204"/>
      <c r="Q45" s="117"/>
      <c r="R45" s="117"/>
      <c r="S45" s="117"/>
      <c r="T45" s="114"/>
      <c r="U45" s="114"/>
      <c r="V45" s="114"/>
      <c r="W45" s="113"/>
      <c r="X45" s="112"/>
      <c r="Y45" s="112"/>
      <c r="Z45" s="110"/>
    </row>
    <row r="46" spans="1:26" ht="6" hidden="1" customHeight="1" x14ac:dyDescent="0.2">
      <c r="A46" s="2"/>
      <c r="B46" s="3"/>
      <c r="C46" s="1031"/>
      <c r="D46" s="1031"/>
      <c r="E46" s="4"/>
      <c r="F46" s="19"/>
      <c r="G46" s="4"/>
      <c r="H46" s="5"/>
      <c r="I46" s="129"/>
      <c r="J46" s="203" t="s">
        <v>78</v>
      </c>
      <c r="K46" s="119" t="b">
        <v>0</v>
      </c>
      <c r="L46" s="119"/>
      <c r="M46" s="119"/>
      <c r="N46" s="119"/>
      <c r="O46" s="119"/>
      <c r="P46" s="204"/>
      <c r="Q46" s="117"/>
      <c r="R46" s="117"/>
      <c r="S46" s="117"/>
      <c r="T46" s="114"/>
      <c r="U46" s="114"/>
      <c r="V46" s="114"/>
      <c r="W46" s="113"/>
      <c r="X46" s="112"/>
      <c r="Y46" s="112"/>
      <c r="Z46" s="110"/>
    </row>
    <row r="47" spans="1:26" ht="15" hidden="1" customHeight="1" x14ac:dyDescent="0.2">
      <c r="A47" s="2"/>
      <c r="B47" s="493"/>
      <c r="C47" s="1012" t="s">
        <v>256</v>
      </c>
      <c r="D47" s="1156"/>
      <c r="E47" s="526">
        <f>Basisdaten!E61</f>
        <v>0</v>
      </c>
      <c r="F47" s="264"/>
      <c r="G47" s="494" t="str">
        <f>IF(OR(L45,M45=TRUE),"Vorschlag Mindestgröße Solaranlage:","")</f>
        <v>Vorschlag Mindestgröße Solaranlage:</v>
      </c>
      <c r="H47" s="497">
        <f>IF(OR(L45,M45=TRUE),J48,"")</f>
        <v>0</v>
      </c>
      <c r="I47" s="467"/>
      <c r="J47" s="484">
        <f>D18</f>
        <v>0</v>
      </c>
      <c r="K47" s="468"/>
      <c r="L47" s="469" t="s">
        <v>243</v>
      </c>
      <c r="M47" s="469"/>
      <c r="N47" s="198"/>
      <c r="O47" s="119"/>
      <c r="P47" s="204"/>
      <c r="Q47" s="117"/>
      <c r="R47" s="117"/>
      <c r="S47" s="117"/>
      <c r="T47" s="114"/>
      <c r="U47" s="114"/>
      <c r="V47" s="114"/>
      <c r="W47" s="113"/>
      <c r="X47" s="112"/>
      <c r="Y47" s="112"/>
      <c r="Z47" s="110"/>
    </row>
    <row r="48" spans="1:26" ht="15" hidden="1" customHeight="1" x14ac:dyDescent="0.2">
      <c r="A48" s="2"/>
      <c r="B48" s="493"/>
      <c r="C48" s="500" t="str">
        <f>IF(AND(OR(L45,M45=TRUE),E47&gt;0,H47&gt;E47),"Begründung für die abweichende Größe der Solaranlage ist beizulegen!","")</f>
        <v/>
      </c>
      <c r="D48" s="488"/>
      <c r="G48" s="499"/>
      <c r="H48" s="498"/>
      <c r="I48" s="130"/>
      <c r="J48" s="483">
        <f>IF(D18&lt;400,D18/120*4,D18/75*2.5)</f>
        <v>0</v>
      </c>
      <c r="K48" s="485">
        <f>IF(J47&lt;150,J47/40*1.5,IF(J47&lt;400,J47/35*1.5,IF(J47&lt;1000,J47/30*1.5,IF(J47&gt;1000,J47/25*1.5))))</f>
        <v>0</v>
      </c>
      <c r="L48" s="470">
        <f>IF(E47&gt;=H47,1,0)</f>
        <v>1</v>
      </c>
      <c r="M48" s="471"/>
      <c r="N48" s="202"/>
      <c r="O48" s="119"/>
      <c r="P48" s="204"/>
      <c r="Q48" s="117"/>
      <c r="R48" s="117"/>
      <c r="S48" s="117"/>
      <c r="T48" s="114"/>
      <c r="U48" s="114"/>
      <c r="V48" s="114"/>
      <c r="W48" s="113"/>
      <c r="X48" s="112"/>
      <c r="Y48" s="112"/>
      <c r="Z48" s="110"/>
    </row>
    <row r="49" spans="1:26" ht="7.5" hidden="1" customHeight="1" x14ac:dyDescent="0.2">
      <c r="A49" s="2"/>
      <c r="B49" s="3"/>
      <c r="C49" s="265"/>
      <c r="D49" s="496"/>
      <c r="E49" s="272"/>
      <c r="F49" s="51"/>
      <c r="G49" s="1139"/>
      <c r="H49" s="1140"/>
      <c r="I49" s="130"/>
      <c r="J49" s="199"/>
      <c r="K49" s="201"/>
      <c r="L49" s="201"/>
      <c r="M49" s="201"/>
      <c r="N49" s="201"/>
      <c r="O49" s="201"/>
      <c r="P49" s="202"/>
      <c r="Q49" s="117"/>
      <c r="R49" s="117"/>
      <c r="S49" s="117"/>
      <c r="T49" s="114"/>
      <c r="U49" s="114"/>
      <c r="V49" s="114"/>
      <c r="W49" s="113"/>
      <c r="X49" s="112"/>
      <c r="Y49" s="112"/>
      <c r="Z49" s="110"/>
    </row>
    <row r="50" spans="1:26" ht="18" hidden="1" customHeight="1" x14ac:dyDescent="0.25">
      <c r="A50" s="2"/>
      <c r="B50" s="20"/>
      <c r="C50" s="41" t="str">
        <f>IF(OR(OR(K40,K41,L41,M41,N41,O41,K42)=TRUE,AND(D22&gt;25,G32&gt;0,G32&lt;3)),"ALTERNATIVENPRÜFUNG!",IF(AND(OR(K32,L32,M32,N32=TRUE),L31=0),"ALTERNATIVENPRÜFUNG!",IF(OR(K45,K27,K28,L28,M28,N28,M37,K35,L35,K37,L37)=TRUE,"KEINE ALTERNATIVENPRÜFUNG NOTWENDIG!",IF(AND(OR(K32,L32,M32,N32=TRUE),L31=1),"KEINE ALTERNATIVENPRÜFUNG NOTWENDIG!",IF(AND(OR(K32,L32,M32,N32=TRUE),G32=0),"Geben Sie die JAZ der Wärmepumpe an!"," ")))))</f>
        <v>ALTERNATIVENPRÜFUNG!</v>
      </c>
      <c r="D50" s="21"/>
      <c r="E50" s="21"/>
      <c r="F50" s="21" t="str">
        <f>IF(AND(OR(K40,K41,L41,M41,N41,O41,K42)=TRUE,OR(K45,K27,K28,L28,M28,N28,K32,L32,M32,N32,K46,K35,L35,K37,L37,M37)=TRUE),"Vereinfachtes Verfahren! Fahren Sie fort mit Punkt l",IF(AND(OR(K40,K41,L41,M41,N41,O41,K42)=TRUE,OR(L45,M45)=TRUE,L48=1),"Vereinfachtes Verfahren! Fahren Sie fort mit Punkt l",IF(OR(K40,K41,L41,M41,N41,K42,O41=TRUE),"Fahren Sie fort mit Punkt ll",IF(AND(OR(K32,L32,M32,N32)=TRUE,L31=0,OR(AND(OR(L45,M45=TRUE),L48=1),K27,K45,K28,L28,M28,N28,K46,K35,L35,K37,L37,M37)=TRUE),"Vereinfachtes Verfahren! Fahren Sie fort mit Punkt l",IF(AND(OR(K32,L32,M32,N32=TRUE),L31=0),"Fahren Sie fort mit Punkt ll",IF(K45=TRUE,"Dimensionierung der Anlage ist beizulegen",IF(AND(L31=1,OR(K32,L32,M32,N32=TRUE)),"Berechnung JAZ ist beizulegen"," ")))))))</f>
        <v>Vereinfachtes Verfahren! Fahren Sie fort mit Punkt l</v>
      </c>
      <c r="G50" s="21"/>
      <c r="H50" s="22"/>
      <c r="J50" s="478"/>
      <c r="K50" s="119"/>
      <c r="L50" s="119"/>
      <c r="M50" s="119"/>
      <c r="N50" s="119"/>
      <c r="O50" s="119"/>
      <c r="P50" s="117"/>
      <c r="Q50" s="117"/>
      <c r="R50" s="117"/>
      <c r="S50" s="117"/>
      <c r="T50" s="114"/>
      <c r="U50" s="114"/>
      <c r="V50" s="114"/>
      <c r="W50" s="113"/>
      <c r="X50" s="112"/>
      <c r="Y50" s="112"/>
      <c r="Z50" s="110"/>
    </row>
    <row r="51" spans="1:26" ht="10.5" hidden="1" customHeight="1" x14ac:dyDescent="0.2">
      <c r="A51" s="9"/>
      <c r="B51" s="6"/>
      <c r="C51" s="7"/>
      <c r="D51" s="7"/>
      <c r="E51" s="7"/>
      <c r="F51" s="7"/>
      <c r="G51" s="7"/>
      <c r="H51" s="11"/>
      <c r="J51" s="119"/>
      <c r="K51" s="119"/>
      <c r="L51" s="119"/>
      <c r="M51" s="119"/>
      <c r="N51" s="119"/>
      <c r="O51" s="119"/>
      <c r="P51" s="117"/>
      <c r="Q51" s="117"/>
      <c r="R51" s="117"/>
      <c r="S51" s="117"/>
      <c r="T51" s="114"/>
      <c r="U51" s="114"/>
      <c r="V51" s="114"/>
      <c r="W51" s="113"/>
      <c r="X51" s="112"/>
      <c r="Y51" s="112"/>
      <c r="Z51" s="110"/>
    </row>
    <row r="52" spans="1:26" ht="24" customHeight="1" x14ac:dyDescent="0.2">
      <c r="A52" s="533" t="s">
        <v>83</v>
      </c>
      <c r="B52" s="1057" t="s">
        <v>81</v>
      </c>
      <c r="C52" s="1058"/>
      <c r="D52" s="1058"/>
      <c r="E52" s="1058"/>
      <c r="F52" s="1058"/>
      <c r="G52" s="1058"/>
      <c r="H52" s="1059"/>
      <c r="J52" s="119"/>
      <c r="K52" s="119"/>
      <c r="L52" s="119"/>
      <c r="M52" s="119"/>
      <c r="N52" s="119"/>
      <c r="O52" s="119"/>
      <c r="P52" s="119"/>
      <c r="Q52" s="117"/>
      <c r="R52" s="117"/>
      <c r="S52" s="117"/>
      <c r="T52" s="114"/>
      <c r="U52" s="114"/>
      <c r="V52" s="114"/>
      <c r="W52" s="113"/>
      <c r="X52" s="112"/>
      <c r="Y52" s="112"/>
      <c r="Z52" s="110"/>
    </row>
    <row r="53" spans="1:26" ht="75.75" customHeight="1" x14ac:dyDescent="0.2">
      <c r="A53" s="1136" t="s">
        <v>274</v>
      </c>
      <c r="B53" s="1137"/>
      <c r="C53" s="1137"/>
      <c r="D53" s="1137"/>
      <c r="E53" s="1137"/>
      <c r="F53" s="1137"/>
      <c r="G53" s="1137"/>
      <c r="H53" s="1138"/>
      <c r="J53" s="119"/>
      <c r="K53" s="119"/>
      <c r="L53" s="119"/>
      <c r="M53" s="119"/>
      <c r="N53" s="119"/>
      <c r="O53" s="119"/>
      <c r="P53" s="119"/>
      <c r="Q53" s="117"/>
      <c r="R53" s="117"/>
      <c r="S53" s="117"/>
      <c r="T53" s="114"/>
      <c r="U53" s="114"/>
      <c r="V53" s="114"/>
      <c r="W53" s="113"/>
      <c r="X53" s="112"/>
      <c r="Y53" s="112"/>
      <c r="Z53" s="110"/>
    </row>
    <row r="54" spans="1:26" ht="18" customHeight="1" x14ac:dyDescent="0.25">
      <c r="A54" s="30">
        <v>1</v>
      </c>
      <c r="B54" s="1111" t="s">
        <v>35</v>
      </c>
      <c r="C54" s="1112"/>
      <c r="D54" s="1112"/>
      <c r="E54" s="1112"/>
      <c r="F54" s="1112"/>
      <c r="G54" s="1112"/>
      <c r="H54" s="1113"/>
      <c r="J54" s="119"/>
      <c r="K54" s="195" t="s">
        <v>19</v>
      </c>
      <c r="L54" s="197" t="s">
        <v>4</v>
      </c>
      <c r="M54" s="197" t="s">
        <v>22</v>
      </c>
      <c r="N54" s="197" t="s">
        <v>20</v>
      </c>
      <c r="O54" s="197">
        <v>1</v>
      </c>
      <c r="P54" s="197"/>
      <c r="Q54" s="197"/>
      <c r="R54" s="197"/>
      <c r="S54" s="198"/>
      <c r="T54" s="115"/>
      <c r="U54" s="115"/>
      <c r="V54" s="115"/>
      <c r="W54" s="113"/>
      <c r="X54" s="112"/>
      <c r="Y54" s="112"/>
      <c r="Z54" s="110"/>
    </row>
    <row r="55" spans="1:26" ht="17.100000000000001" customHeight="1" x14ac:dyDescent="0.2">
      <c r="A55" s="27"/>
      <c r="B55" s="1" t="s">
        <v>3</v>
      </c>
      <c r="C55" s="1"/>
      <c r="D55" s="4"/>
      <c r="E55" s="4"/>
      <c r="F55" s="4"/>
      <c r="G55" s="4"/>
      <c r="H55" s="5"/>
      <c r="J55" s="119"/>
      <c r="K55" s="205">
        <v>16</v>
      </c>
      <c r="L55" s="119" t="s">
        <v>5</v>
      </c>
      <c r="M55" s="119">
        <v>3</v>
      </c>
      <c r="N55" s="119" t="s">
        <v>21</v>
      </c>
      <c r="O55" s="119" t="b">
        <v>0</v>
      </c>
      <c r="P55" s="119"/>
      <c r="Q55" s="119"/>
      <c r="R55" s="119"/>
      <c r="S55" s="204"/>
      <c r="T55" s="115"/>
      <c r="U55" s="115"/>
      <c r="V55" s="115"/>
      <c r="W55" s="113"/>
      <c r="X55" s="112"/>
      <c r="Y55" s="112"/>
      <c r="Z55" s="110"/>
    </row>
    <row r="56" spans="1:26" ht="15" customHeight="1" x14ac:dyDescent="0.2">
      <c r="A56" s="2"/>
      <c r="B56" s="274" t="s">
        <v>230</v>
      </c>
      <c r="C56" s="260"/>
      <c r="D56" s="260"/>
      <c r="E56" s="260"/>
      <c r="F56" s="261"/>
      <c r="G56" s="10"/>
      <c r="H56" s="136"/>
      <c r="J56" s="119"/>
      <c r="K56" s="205"/>
      <c r="L56" s="119" t="s">
        <v>6</v>
      </c>
      <c r="M56" s="119"/>
      <c r="N56" s="119" t="s">
        <v>34</v>
      </c>
      <c r="O56" s="119"/>
      <c r="P56" s="119"/>
      <c r="Q56" s="119"/>
      <c r="R56" s="119"/>
      <c r="S56" s="204"/>
      <c r="T56" s="115"/>
      <c r="U56" s="115"/>
      <c r="V56" s="115"/>
      <c r="W56" s="113"/>
      <c r="X56" s="112"/>
      <c r="Y56" s="112"/>
      <c r="Z56" s="110"/>
    </row>
    <row r="57" spans="1:26" s="93" customFormat="1" ht="3.75" customHeight="1" x14ac:dyDescent="0.2">
      <c r="A57" s="94"/>
      <c r="B57" s="138"/>
      <c r="C57" s="138"/>
      <c r="D57" s="137"/>
      <c r="E57" s="60"/>
      <c r="F57" s="60"/>
      <c r="G57" s="137"/>
      <c r="H57" s="136"/>
      <c r="I57" s="155"/>
      <c r="J57" s="119"/>
      <c r="K57" s="205"/>
      <c r="L57" s="119" t="s">
        <v>7</v>
      </c>
      <c r="M57" s="119"/>
      <c r="N57" s="119"/>
      <c r="O57" s="119"/>
      <c r="P57" s="119"/>
      <c r="Q57" s="119"/>
      <c r="R57" s="119"/>
      <c r="S57" s="204"/>
      <c r="T57" s="115"/>
      <c r="U57" s="115"/>
      <c r="V57" s="115"/>
      <c r="W57" s="113"/>
      <c r="X57" s="112"/>
      <c r="Y57" s="112"/>
      <c r="Z57" s="111"/>
    </row>
    <row r="58" spans="1:26" ht="17.100000000000001" customHeight="1" x14ac:dyDescent="0.2">
      <c r="A58" s="2"/>
      <c r="B58" s="4" t="s">
        <v>26</v>
      </c>
      <c r="C58" s="4"/>
      <c r="D58" s="10"/>
      <c r="E58" s="72"/>
      <c r="F58" s="72"/>
      <c r="G58" s="137"/>
      <c r="H58" s="136"/>
      <c r="J58" s="119"/>
      <c r="K58" s="205"/>
      <c r="L58" s="119" t="s">
        <v>8</v>
      </c>
      <c r="M58" s="119"/>
      <c r="N58" s="119"/>
      <c r="O58" s="119"/>
      <c r="P58" s="119"/>
      <c r="Q58" s="119"/>
      <c r="R58" s="119"/>
      <c r="S58" s="204"/>
      <c r="T58" s="115"/>
      <c r="U58" s="115"/>
      <c r="V58" s="115"/>
      <c r="W58" s="113"/>
      <c r="X58" s="112"/>
      <c r="Y58" s="112"/>
      <c r="Z58" s="110"/>
    </row>
    <row r="59" spans="1:26" ht="16.5" customHeight="1" x14ac:dyDescent="0.2">
      <c r="A59" s="2"/>
      <c r="B59" s="4"/>
      <c r="C59" s="54" t="str">
        <f>IF(M55=2,"Begründung:","  ")</f>
        <v xml:space="preserve">  </v>
      </c>
      <c r="D59" s="1145"/>
      <c r="E59" s="1145"/>
      <c r="F59" s="1145"/>
      <c r="G59" s="137"/>
      <c r="H59" s="136"/>
      <c r="J59" s="119"/>
      <c r="K59" s="205"/>
      <c r="L59" s="119" t="s">
        <v>9</v>
      </c>
      <c r="M59" s="119" t="s">
        <v>24</v>
      </c>
      <c r="N59" s="119" t="s">
        <v>20</v>
      </c>
      <c r="O59" s="119"/>
      <c r="P59" s="119"/>
      <c r="Q59" s="119"/>
      <c r="R59" s="119"/>
      <c r="S59" s="204"/>
      <c r="T59" s="115"/>
      <c r="U59" s="115"/>
      <c r="V59" s="115"/>
      <c r="W59" s="113"/>
      <c r="X59" s="112"/>
      <c r="Y59" s="112"/>
      <c r="Z59" s="110"/>
    </row>
    <row r="60" spans="1:26" ht="17.100000000000001" customHeight="1" x14ac:dyDescent="0.2">
      <c r="A60" s="2"/>
      <c r="B60" s="5" t="s">
        <v>23</v>
      </c>
      <c r="C60" s="4"/>
      <c r="D60" s="10"/>
      <c r="E60" s="72"/>
      <c r="F60" s="72"/>
      <c r="G60" s="137"/>
      <c r="H60" s="136"/>
      <c r="J60" s="119"/>
      <c r="K60" s="205"/>
      <c r="L60" s="119" t="s">
        <v>10</v>
      </c>
      <c r="M60" s="119">
        <v>3</v>
      </c>
      <c r="N60" s="119" t="s">
        <v>21</v>
      </c>
      <c r="O60" s="119"/>
      <c r="P60" s="119"/>
      <c r="Q60" s="119"/>
      <c r="R60" s="119"/>
      <c r="S60" s="204"/>
      <c r="T60" s="115"/>
      <c r="U60" s="115"/>
      <c r="V60" s="115"/>
      <c r="W60" s="113"/>
      <c r="X60" s="112"/>
      <c r="Y60" s="112"/>
      <c r="Z60" s="110"/>
    </row>
    <row r="61" spans="1:26" ht="17.100000000000001" customHeight="1" x14ac:dyDescent="0.2">
      <c r="A61" s="2"/>
      <c r="B61" s="4"/>
      <c r="C61" s="1117" t="str">
        <f>IF(M60=2,"Nutzung des Gebäudes:","  ")</f>
        <v xml:space="preserve">  </v>
      </c>
      <c r="D61" s="1117"/>
      <c r="E61" s="1125"/>
      <c r="F61" s="1125"/>
      <c r="G61" s="137"/>
      <c r="H61" s="136"/>
      <c r="J61" s="119"/>
      <c r="K61" s="205"/>
      <c r="L61" s="119" t="s">
        <v>11</v>
      </c>
      <c r="M61" s="119"/>
      <c r="N61" s="119" t="s">
        <v>34</v>
      </c>
      <c r="O61" s="119"/>
      <c r="P61" s="119"/>
      <c r="Q61" s="119"/>
      <c r="R61" s="119"/>
      <c r="S61" s="204"/>
      <c r="T61" s="115"/>
      <c r="U61" s="115"/>
      <c r="V61" s="115"/>
      <c r="W61" s="113"/>
      <c r="X61" s="112"/>
      <c r="Y61" s="112"/>
      <c r="Z61" s="110"/>
    </row>
    <row r="62" spans="1:26" ht="17.100000000000001" customHeight="1" x14ac:dyDescent="0.2">
      <c r="A62" s="2"/>
      <c r="B62" s="4" t="s">
        <v>261</v>
      </c>
      <c r="C62" s="4"/>
      <c r="D62" s="10"/>
      <c r="E62" s="60"/>
      <c r="F62" s="66" t="str">
        <f>IF(M63=1,"Bestätigung durch Gemeinde"," ")</f>
        <v xml:space="preserve"> </v>
      </c>
      <c r="G62" s="137"/>
      <c r="H62" s="136"/>
      <c r="J62" s="119"/>
      <c r="K62" s="205"/>
      <c r="L62" s="119" t="s">
        <v>12</v>
      </c>
      <c r="M62" s="119" t="s">
        <v>25</v>
      </c>
      <c r="N62" s="119" t="s">
        <v>20</v>
      </c>
      <c r="O62" s="119"/>
      <c r="P62" s="119"/>
      <c r="Q62" s="119" t="s">
        <v>126</v>
      </c>
      <c r="R62" s="119"/>
      <c r="S62" s="204"/>
      <c r="T62" s="115"/>
      <c r="U62" s="115"/>
      <c r="V62" s="115"/>
      <c r="W62" s="113"/>
      <c r="X62" s="112"/>
      <c r="Y62" s="112"/>
      <c r="Z62" s="110"/>
    </row>
    <row r="63" spans="1:26" ht="5.25" customHeight="1" x14ac:dyDescent="0.2">
      <c r="A63" s="2"/>
      <c r="B63" s="166"/>
      <c r="C63" s="166"/>
      <c r="D63" s="148"/>
      <c r="E63" s="60"/>
      <c r="F63" s="218"/>
      <c r="G63" s="137"/>
      <c r="H63" s="136"/>
      <c r="J63" s="119"/>
      <c r="K63" s="205"/>
      <c r="L63" s="119" t="s">
        <v>13</v>
      </c>
      <c r="M63" s="119">
        <v>3</v>
      </c>
      <c r="N63" s="119" t="s">
        <v>21</v>
      </c>
      <c r="O63" s="119"/>
      <c r="P63" s="119"/>
      <c r="Q63" s="119"/>
      <c r="R63" s="119"/>
      <c r="S63" s="204"/>
      <c r="T63" s="115"/>
      <c r="U63" s="115"/>
      <c r="V63" s="115"/>
      <c r="W63" s="113"/>
      <c r="X63" s="112"/>
      <c r="Y63" s="112"/>
      <c r="Z63" s="110"/>
    </row>
    <row r="64" spans="1:26" ht="16.5" customHeight="1" x14ac:dyDescent="0.2">
      <c r="A64" s="28"/>
      <c r="B64" s="1121" t="s">
        <v>36</v>
      </c>
      <c r="C64" s="1121"/>
      <c r="D64" s="1121"/>
      <c r="E64" s="167" t="str">
        <f>IF(OR(K55&lt;6.5,M55=2,M60=2,M63=1),"aus technischen oder ökologischen Gründen nicht sinnvoll.",IF(OR(AND(K55&gt;5,K55&lt;15),M55=1,M60=1,M63=1),"technisch möglich und ökologisch sinnvoll."," "))</f>
        <v xml:space="preserve"> </v>
      </c>
      <c r="F64" s="102"/>
      <c r="G64" s="152"/>
      <c r="H64" s="168"/>
      <c r="J64" s="119"/>
      <c r="K64" s="205"/>
      <c r="L64" s="119" t="s">
        <v>14</v>
      </c>
      <c r="M64" s="119"/>
      <c r="N64" s="119" t="s">
        <v>34</v>
      </c>
      <c r="O64" s="119"/>
      <c r="P64" s="119"/>
      <c r="Q64" s="223">
        <f>IF(OR(K55&lt;6.5,M55=2,M60=2,M63=1),"nein",IF(OR(AND(K55&gt;5,K55&lt;15),M55=1,M60=1,M63=1),"ja",0))</f>
        <v>0</v>
      </c>
      <c r="R64" s="342"/>
      <c r="S64" s="204"/>
      <c r="T64" s="115"/>
      <c r="U64" s="115"/>
      <c r="V64" s="115"/>
      <c r="W64" s="113"/>
      <c r="X64" s="112"/>
      <c r="Y64" s="112"/>
      <c r="Z64" s="110"/>
    </row>
    <row r="65" spans="1:26" s="93" customFormat="1" ht="3.75" customHeight="1" x14ac:dyDescent="0.2">
      <c r="A65" s="94"/>
      <c r="B65" s="169"/>
      <c r="C65" s="170"/>
      <c r="D65" s="171"/>
      <c r="E65" s="60"/>
      <c r="F65" s="60"/>
      <c r="G65" s="137"/>
      <c r="H65" s="136"/>
      <c r="I65" s="155"/>
      <c r="J65" s="119"/>
      <c r="K65" s="205"/>
      <c r="L65" s="119" t="s">
        <v>15</v>
      </c>
      <c r="M65" s="119"/>
      <c r="N65" s="119"/>
      <c r="O65" s="119"/>
      <c r="P65" s="119"/>
      <c r="Q65" s="119"/>
      <c r="R65" s="119"/>
      <c r="S65" s="204"/>
      <c r="T65" s="115"/>
      <c r="U65" s="115"/>
      <c r="V65" s="115"/>
      <c r="W65" s="113"/>
      <c r="X65" s="112"/>
      <c r="Y65" s="112"/>
      <c r="Z65" s="111"/>
    </row>
    <row r="66" spans="1:26" s="93" customFormat="1" ht="3.75" customHeight="1" x14ac:dyDescent="0.2">
      <c r="A66" s="153"/>
      <c r="B66" s="172"/>
      <c r="C66" s="172"/>
      <c r="D66" s="173"/>
      <c r="E66" s="174"/>
      <c r="F66" s="174"/>
      <c r="G66" s="173"/>
      <c r="H66" s="175"/>
      <c r="I66" s="155"/>
      <c r="J66" s="119"/>
      <c r="K66" s="205"/>
      <c r="L66" s="119" t="s">
        <v>16</v>
      </c>
      <c r="M66" s="119"/>
      <c r="N66" s="119"/>
      <c r="O66" s="119"/>
      <c r="P66" s="119"/>
      <c r="Q66" s="119"/>
      <c r="R66" s="119"/>
      <c r="S66" s="204"/>
      <c r="T66" s="115"/>
      <c r="U66" s="115"/>
      <c r="V66" s="115"/>
      <c r="W66" s="113"/>
      <c r="X66" s="112"/>
      <c r="Y66" s="112"/>
      <c r="Z66" s="111"/>
    </row>
    <row r="67" spans="1:26" ht="18" customHeight="1" x14ac:dyDescent="0.25">
      <c r="A67" s="30">
        <v>2</v>
      </c>
      <c r="B67" s="1111" t="s">
        <v>30</v>
      </c>
      <c r="C67" s="1112"/>
      <c r="D67" s="1112"/>
      <c r="E67" s="1112"/>
      <c r="F67" s="1112"/>
      <c r="G67" s="1112"/>
      <c r="H67" s="1113"/>
      <c r="J67" s="119"/>
      <c r="K67" s="205"/>
      <c r="L67" s="119" t="s">
        <v>17</v>
      </c>
      <c r="M67" s="119">
        <v>1</v>
      </c>
      <c r="N67" s="119" t="s">
        <v>21</v>
      </c>
      <c r="O67" s="119"/>
      <c r="P67" s="119"/>
      <c r="Q67" s="119"/>
      <c r="R67" s="119"/>
      <c r="S67" s="204"/>
      <c r="T67" s="115"/>
      <c r="U67" s="115"/>
      <c r="V67" s="115"/>
      <c r="W67" s="113"/>
      <c r="X67" s="112"/>
      <c r="Y67" s="112"/>
      <c r="Z67" s="110"/>
    </row>
    <row r="68" spans="1:26" ht="17.100000000000001" customHeight="1" x14ac:dyDescent="0.25">
      <c r="A68" s="23"/>
      <c r="B68" s="1"/>
      <c r="C68" s="25" t="s">
        <v>250</v>
      </c>
      <c r="D68" s="259"/>
      <c r="E68" s="18" t="s">
        <v>460</v>
      </c>
      <c r="F68" s="18"/>
      <c r="G68" s="1"/>
      <c r="H68" s="5"/>
      <c r="J68" s="119"/>
      <c r="K68" s="205"/>
      <c r="L68" s="119" t="s">
        <v>18</v>
      </c>
      <c r="M68" s="119"/>
      <c r="N68" s="119"/>
      <c r="O68" s="119"/>
      <c r="P68" s="119"/>
      <c r="Q68" s="119"/>
      <c r="R68" s="119"/>
      <c r="S68" s="204"/>
      <c r="T68" s="115"/>
      <c r="U68" s="115"/>
      <c r="V68" s="115"/>
      <c r="W68" s="113"/>
      <c r="X68" s="112"/>
      <c r="Y68" s="112"/>
      <c r="Z68" s="110"/>
    </row>
    <row r="69" spans="1:26" s="93" customFormat="1" ht="1.5" customHeight="1" x14ac:dyDescent="0.2">
      <c r="A69" s="94"/>
      <c r="B69" s="138"/>
      <c r="C69" s="139"/>
      <c r="D69" s="48"/>
      <c r="E69" s="48"/>
      <c r="F69" s="48"/>
      <c r="G69" s="48"/>
      <c r="H69" s="92"/>
      <c r="J69" s="343"/>
      <c r="K69" s="344"/>
      <c r="L69" s="345" t="s">
        <v>34</v>
      </c>
      <c r="M69" s="345"/>
      <c r="N69" s="345"/>
      <c r="O69" s="345"/>
      <c r="P69" s="345"/>
      <c r="Q69" s="345"/>
      <c r="R69" s="345"/>
      <c r="S69" s="346"/>
      <c r="T69" s="347"/>
      <c r="U69" s="347"/>
      <c r="V69" s="347"/>
      <c r="W69" s="140"/>
      <c r="X69" s="111"/>
      <c r="Y69" s="111"/>
      <c r="Z69" s="111"/>
    </row>
    <row r="70" spans="1:26" s="93" customFormat="1" ht="16.5" customHeight="1" x14ac:dyDescent="0.2">
      <c r="A70" s="94"/>
      <c r="B70" s="219" t="s">
        <v>125</v>
      </c>
      <c r="C70" s="141"/>
      <c r="D70" s="141"/>
      <c r="E70" s="141"/>
      <c r="F70" s="141"/>
      <c r="G70" s="141"/>
      <c r="H70" s="92"/>
      <c r="J70" s="343"/>
      <c r="K70" s="348"/>
      <c r="L70" s="343"/>
      <c r="M70" s="343"/>
      <c r="N70" s="343"/>
      <c r="O70" s="343"/>
      <c r="P70" s="343"/>
      <c r="Q70" s="343"/>
      <c r="R70" s="343"/>
      <c r="S70" s="346"/>
      <c r="T70" s="347"/>
      <c r="U70" s="347"/>
      <c r="V70" s="347"/>
      <c r="W70" s="140"/>
      <c r="X70" s="111"/>
      <c r="Y70" s="111"/>
      <c r="Z70" s="111"/>
    </row>
    <row r="71" spans="1:26" s="93" customFormat="1" ht="12.75" customHeight="1" x14ac:dyDescent="0.2">
      <c r="A71" s="94"/>
      <c r="B71" s="141"/>
      <c r="C71" s="220" t="s">
        <v>31</v>
      </c>
      <c r="D71" s="221">
        <f>0.9*D68/H71</f>
        <v>0</v>
      </c>
      <c r="E71" s="220" t="s">
        <v>32</v>
      </c>
      <c r="F71" s="221">
        <f>2.5*D68/H71</f>
        <v>0</v>
      </c>
      <c r="G71" s="220" t="s">
        <v>260</v>
      </c>
      <c r="H71" s="845">
        <v>2.5</v>
      </c>
      <c r="J71" s="343"/>
      <c r="K71" s="348"/>
      <c r="L71" s="343"/>
      <c r="M71" s="343"/>
      <c r="N71" s="343"/>
      <c r="O71" s="343"/>
      <c r="P71" s="343"/>
      <c r="Q71" s="343"/>
      <c r="R71" s="343"/>
      <c r="S71" s="346"/>
      <c r="T71" s="347"/>
      <c r="U71" s="347"/>
      <c r="V71" s="347"/>
      <c r="W71" s="140"/>
      <c r="X71" s="111"/>
      <c r="Y71" s="111"/>
      <c r="Z71" s="111"/>
    </row>
    <row r="72" spans="1:26" s="93" customFormat="1" ht="16.5" customHeight="1" x14ac:dyDescent="0.2">
      <c r="A72" s="94"/>
      <c r="B72" s="141"/>
      <c r="C72" s="142"/>
      <c r="D72" s="143"/>
      <c r="E72" s="142"/>
      <c r="F72" s="143"/>
      <c r="G72" s="413"/>
      <c r="H72" s="144"/>
      <c r="J72" s="343"/>
      <c r="K72" s="348"/>
      <c r="L72" s="343"/>
      <c r="M72" s="343"/>
      <c r="N72" s="343"/>
      <c r="O72" s="343"/>
      <c r="P72" s="343"/>
      <c r="Q72" s="343"/>
      <c r="R72" s="343"/>
      <c r="S72" s="346"/>
      <c r="T72" s="347"/>
      <c r="U72" s="347"/>
      <c r="V72" s="347"/>
      <c r="W72" s="140"/>
      <c r="X72" s="111"/>
      <c r="Y72" s="111"/>
      <c r="Z72" s="111"/>
    </row>
    <row r="73" spans="1:26" s="93" customFormat="1" ht="16.5" customHeight="1" x14ac:dyDescent="0.2">
      <c r="A73" s="94"/>
      <c r="B73" s="141" t="s">
        <v>33</v>
      </c>
      <c r="C73" s="142"/>
      <c r="D73" s="143"/>
      <c r="E73" s="142"/>
      <c r="F73" s="415" t="str">
        <f>IF(K74=2,"Begründung:","")</f>
        <v/>
      </c>
      <c r="G73" s="1125"/>
      <c r="H73" s="1126"/>
      <c r="J73" s="414"/>
      <c r="K73" s="348" t="s">
        <v>37</v>
      </c>
      <c r="L73" s="343" t="s">
        <v>20</v>
      </c>
      <c r="M73" s="343"/>
      <c r="N73" s="343" t="s">
        <v>39</v>
      </c>
      <c r="O73" s="343" t="s">
        <v>20</v>
      </c>
      <c r="P73" s="343"/>
      <c r="Q73" s="343" t="s">
        <v>40</v>
      </c>
      <c r="R73" s="343" t="s">
        <v>20</v>
      </c>
      <c r="S73" s="346"/>
      <c r="T73" s="347"/>
      <c r="U73" s="347"/>
      <c r="V73" s="347"/>
      <c r="W73" s="140"/>
      <c r="X73" s="111"/>
      <c r="Y73" s="111"/>
      <c r="Z73" s="111"/>
    </row>
    <row r="74" spans="1:26" s="93" customFormat="1" ht="16.5" customHeight="1" x14ac:dyDescent="0.2">
      <c r="A74" s="94"/>
      <c r="B74" s="141" t="s">
        <v>42</v>
      </c>
      <c r="C74" s="142"/>
      <c r="D74" s="143"/>
      <c r="E74" s="142"/>
      <c r="F74" s="415" t="str">
        <f>IF(N74=2,"Begründung:","")</f>
        <v/>
      </c>
      <c r="G74" s="1125"/>
      <c r="H74" s="1126"/>
      <c r="J74" s="343"/>
      <c r="K74" s="348">
        <v>3</v>
      </c>
      <c r="L74" s="343" t="s">
        <v>38</v>
      </c>
      <c r="M74" s="343"/>
      <c r="N74" s="343">
        <v>3</v>
      </c>
      <c r="O74" s="343" t="s">
        <v>21</v>
      </c>
      <c r="P74" s="343"/>
      <c r="Q74" s="343">
        <v>3</v>
      </c>
      <c r="R74" s="343" t="s">
        <v>21</v>
      </c>
      <c r="S74" s="346"/>
      <c r="T74" s="347"/>
      <c r="U74" s="347"/>
      <c r="V74" s="347"/>
      <c r="W74" s="140"/>
      <c r="X74" s="111"/>
      <c r="Y74" s="111"/>
      <c r="Z74" s="111"/>
    </row>
    <row r="75" spans="1:26" s="93" customFormat="1" ht="16.5" customHeight="1" x14ac:dyDescent="0.2">
      <c r="A75" s="94"/>
      <c r="B75" s="141" t="s">
        <v>262</v>
      </c>
      <c r="C75" s="142"/>
      <c r="D75" s="143"/>
      <c r="E75" s="142"/>
      <c r="F75" s="143"/>
      <c r="G75" s="146"/>
      <c r="H75" s="145"/>
      <c r="J75" s="343"/>
      <c r="K75" s="348"/>
      <c r="L75" s="343" t="s">
        <v>34</v>
      </c>
      <c r="M75" s="343"/>
      <c r="N75" s="343"/>
      <c r="O75" s="343" t="s">
        <v>34</v>
      </c>
      <c r="P75" s="343"/>
      <c r="Q75" s="343"/>
      <c r="R75" s="343" t="s">
        <v>34</v>
      </c>
      <c r="S75" s="346"/>
      <c r="T75" s="347"/>
      <c r="U75" s="347"/>
      <c r="V75" s="347"/>
      <c r="W75" s="140"/>
      <c r="X75" s="111"/>
      <c r="Y75" s="111"/>
      <c r="Z75" s="111"/>
    </row>
    <row r="76" spans="1:26" s="93" customFormat="1" ht="16.5" customHeight="1" x14ac:dyDescent="0.2">
      <c r="A76" s="94"/>
      <c r="B76" s="158" t="str">
        <f>IF(Q74=1,"Auszug aus dem Bundesgesetz oder tirismaps - Umweltschutz - Luftgüte (über www.tirol.gv.at/tiris) ist beizulegen!"," ")</f>
        <v xml:space="preserve"> </v>
      </c>
      <c r="C76" s="142"/>
      <c r="D76" s="143"/>
      <c r="E76" s="142"/>
      <c r="F76" s="143"/>
      <c r="G76" s="142"/>
      <c r="H76" s="145"/>
      <c r="J76" s="343"/>
      <c r="K76" s="348"/>
      <c r="L76" s="343"/>
      <c r="M76" s="343"/>
      <c r="N76" s="343"/>
      <c r="O76" s="343"/>
      <c r="P76" s="343"/>
      <c r="Q76" s="343"/>
      <c r="R76" s="343"/>
      <c r="S76" s="346"/>
      <c r="T76" s="347"/>
      <c r="U76" s="347"/>
      <c r="V76" s="347"/>
      <c r="W76" s="140"/>
      <c r="X76" s="111"/>
      <c r="Y76" s="111"/>
      <c r="Z76" s="111"/>
    </row>
    <row r="77" spans="1:26" s="93" customFormat="1" ht="5.25" customHeight="1" x14ac:dyDescent="0.2">
      <c r="A77" s="94"/>
      <c r="B77" s="147"/>
      <c r="C77" s="148"/>
      <c r="D77" s="149"/>
      <c r="E77" s="148"/>
      <c r="F77" s="149"/>
      <c r="G77" s="148"/>
      <c r="H77" s="150"/>
      <c r="J77" s="343"/>
      <c r="K77" s="348"/>
      <c r="L77" s="343"/>
      <c r="M77" s="343"/>
      <c r="N77" s="343"/>
      <c r="O77" s="343"/>
      <c r="P77" s="343"/>
      <c r="Q77" s="343"/>
      <c r="R77" s="343"/>
      <c r="S77" s="346"/>
      <c r="T77" s="347"/>
      <c r="U77" s="347"/>
      <c r="V77" s="347"/>
      <c r="W77" s="140"/>
      <c r="X77" s="111"/>
      <c r="Y77" s="111"/>
      <c r="Z77" s="111"/>
    </row>
    <row r="78" spans="1:26" s="93" customFormat="1" ht="27.75" customHeight="1" x14ac:dyDescent="0.2">
      <c r="A78" s="94"/>
      <c r="B78" s="515" t="s">
        <v>41</v>
      </c>
      <c r="C78" s="151"/>
      <c r="D78" s="151"/>
      <c r="E78" s="1141" t="str">
        <f>IF(OR(K74=2,N74=2),"aus technischen Gründen nicht möglich.",IF(Q74=1,"technisch möglich. Aus Gründen der Luftreinhaltung kann von einer weiteren Prüfung aber abgesehen werden.",IF(OR(K74=1,N74=1,Q74=2),"technisch möglich und ökologisch sinnvoll."," ")))</f>
        <v xml:space="preserve"> </v>
      </c>
      <c r="F78" s="1141"/>
      <c r="G78" s="1141"/>
      <c r="H78" s="1142"/>
      <c r="J78" s="343"/>
      <c r="K78" s="344"/>
      <c r="L78" s="345"/>
      <c r="M78" s="345"/>
      <c r="N78" s="345"/>
      <c r="O78" s="345"/>
      <c r="P78" s="345"/>
      <c r="Q78" s="349" t="s">
        <v>127</v>
      </c>
      <c r="R78" s="350">
        <f>IF(OR(K74=2,N74=2,Q74=1),"nein",IF(OR(K74=1,N74=1,Q74=2),"ja",0))</f>
        <v>0</v>
      </c>
      <c r="S78" s="342"/>
      <c r="T78" s="347"/>
      <c r="U78" s="347"/>
      <c r="V78" s="347"/>
      <c r="W78" s="140"/>
      <c r="X78" s="111"/>
      <c r="Y78" s="111"/>
      <c r="Z78" s="111"/>
    </row>
    <row r="79" spans="1:26" s="93" customFormat="1" ht="7.5" customHeight="1" x14ac:dyDescent="0.2">
      <c r="A79" s="153"/>
      <c r="B79" s="141"/>
      <c r="C79" s="141"/>
      <c r="D79" s="141"/>
      <c r="E79" s="141"/>
      <c r="F79" s="141"/>
      <c r="G79" s="141"/>
      <c r="H79" s="92"/>
      <c r="J79" s="343"/>
      <c r="K79" s="348"/>
      <c r="L79" s="343"/>
      <c r="M79" s="343"/>
      <c r="N79" s="343"/>
      <c r="O79" s="343"/>
      <c r="P79" s="343"/>
      <c r="Q79" s="343"/>
      <c r="R79" s="343"/>
      <c r="S79" s="346"/>
      <c r="T79" s="347"/>
      <c r="U79" s="347"/>
      <c r="V79" s="347"/>
      <c r="W79" s="140"/>
      <c r="X79" s="111"/>
      <c r="Y79" s="111"/>
      <c r="Z79" s="111"/>
    </row>
    <row r="80" spans="1:26" ht="18" customHeight="1" x14ac:dyDescent="0.25">
      <c r="A80" s="30">
        <v>3</v>
      </c>
      <c r="B80" s="1111" t="s">
        <v>50</v>
      </c>
      <c r="C80" s="1112"/>
      <c r="D80" s="1112"/>
      <c r="E80" s="1112"/>
      <c r="F80" s="1112"/>
      <c r="G80" s="1112"/>
      <c r="H80" s="1113"/>
      <c r="J80" s="119"/>
      <c r="K80" s="205"/>
      <c r="L80" s="119"/>
      <c r="M80" s="119"/>
      <c r="N80" s="119"/>
      <c r="O80" s="119"/>
      <c r="P80" s="119"/>
      <c r="Q80" s="119"/>
      <c r="R80" s="119"/>
      <c r="S80" s="204"/>
      <c r="T80" s="115"/>
      <c r="U80" s="115"/>
      <c r="V80" s="115"/>
      <c r="W80" s="113"/>
      <c r="X80" s="112"/>
      <c r="Y80" s="112"/>
      <c r="Z80" s="110"/>
    </row>
    <row r="81" spans="1:26" s="93" customFormat="1" ht="17.100000000000001" customHeight="1" x14ac:dyDescent="0.2">
      <c r="A81" s="91"/>
      <c r="B81" s="48" t="s">
        <v>49</v>
      </c>
      <c r="C81" s="48"/>
      <c r="D81" s="48"/>
      <c r="E81" s="48"/>
      <c r="F81" s="48"/>
      <c r="G81" s="48"/>
      <c r="H81" s="92"/>
      <c r="I81" s="121"/>
      <c r="J81" s="119"/>
      <c r="K81" s="205" t="s">
        <v>43</v>
      </c>
      <c r="L81" s="119" t="s">
        <v>20</v>
      </c>
      <c r="M81" s="119"/>
      <c r="N81" s="119" t="s">
        <v>44</v>
      </c>
      <c r="O81" s="119" t="s">
        <v>30</v>
      </c>
      <c r="P81" s="120" t="s">
        <v>48</v>
      </c>
      <c r="Q81" s="119" t="s">
        <v>20</v>
      </c>
      <c r="R81" s="119"/>
      <c r="S81" s="204"/>
      <c r="T81" s="115"/>
      <c r="U81" s="115"/>
      <c r="V81" s="115"/>
      <c r="W81" s="113"/>
      <c r="X81" s="112"/>
      <c r="Y81" s="112"/>
      <c r="Z81" s="111"/>
    </row>
    <row r="82" spans="1:26" s="93" customFormat="1" ht="17.100000000000001" customHeight="1" x14ac:dyDescent="0.2">
      <c r="A82" s="94"/>
      <c r="B82" s="48" t="s">
        <v>51</v>
      </c>
      <c r="C82" s="48"/>
      <c r="D82" s="48"/>
      <c r="E82" s="48"/>
      <c r="F82" s="48"/>
      <c r="G82" s="48"/>
      <c r="H82" s="92"/>
      <c r="I82" s="121"/>
      <c r="J82" s="119"/>
      <c r="K82" s="205">
        <v>3</v>
      </c>
      <c r="L82" s="119" t="s">
        <v>21</v>
      </c>
      <c r="M82" s="119"/>
      <c r="N82" s="119">
        <v>5</v>
      </c>
      <c r="O82" s="119" t="s">
        <v>45</v>
      </c>
      <c r="P82" s="119">
        <v>3</v>
      </c>
      <c r="Q82" s="119" t="s">
        <v>21</v>
      </c>
      <c r="R82" s="119"/>
      <c r="S82" s="204"/>
      <c r="T82" s="115"/>
      <c r="U82" s="115"/>
      <c r="V82" s="115"/>
      <c r="W82" s="113"/>
      <c r="X82" s="112"/>
      <c r="Y82" s="112"/>
      <c r="Z82" s="111"/>
    </row>
    <row r="83" spans="1:26" s="93" customFormat="1" ht="17.100000000000001" customHeight="1" x14ac:dyDescent="0.2">
      <c r="A83" s="94"/>
      <c r="B83" s="95" t="s">
        <v>52</v>
      </c>
      <c r="C83" s="96"/>
      <c r="D83" s="96"/>
      <c r="E83" s="96"/>
      <c r="F83" s="60"/>
      <c r="G83" s="60"/>
      <c r="H83" s="61"/>
      <c r="I83" s="121"/>
      <c r="J83" s="119"/>
      <c r="K83" s="205"/>
      <c r="L83" s="119" t="s">
        <v>34</v>
      </c>
      <c r="M83" s="119"/>
      <c r="N83" s="119"/>
      <c r="O83" s="119" t="s">
        <v>46</v>
      </c>
      <c r="P83" s="119"/>
      <c r="Q83" s="119" t="s">
        <v>34</v>
      </c>
      <c r="R83" s="119"/>
      <c r="S83" s="204"/>
      <c r="T83" s="115"/>
      <c r="U83" s="115"/>
      <c r="V83" s="115"/>
      <c r="W83" s="113"/>
      <c r="X83" s="112"/>
      <c r="Y83" s="112"/>
      <c r="Z83" s="111"/>
    </row>
    <row r="84" spans="1:26" s="93" customFormat="1" ht="17.100000000000001" customHeight="1" x14ac:dyDescent="0.2">
      <c r="A84" s="94"/>
      <c r="B84" s="50"/>
      <c r="C84" s="97" t="str">
        <f>IF(P82=2,"Begründung:","  ")</f>
        <v xml:space="preserve">  </v>
      </c>
      <c r="D84" s="1125"/>
      <c r="E84" s="1125"/>
      <c r="F84" s="1125"/>
      <c r="G84" s="60"/>
      <c r="H84" s="61"/>
      <c r="I84" s="121"/>
      <c r="J84" s="119"/>
      <c r="K84" s="205"/>
      <c r="L84" s="119"/>
      <c r="M84" s="119"/>
      <c r="N84" s="119"/>
      <c r="O84" s="119" t="s">
        <v>47</v>
      </c>
      <c r="P84" s="119"/>
      <c r="Q84" s="119"/>
      <c r="R84" s="119"/>
      <c r="S84" s="204"/>
      <c r="T84" s="115"/>
      <c r="U84" s="115"/>
      <c r="V84" s="115"/>
      <c r="W84" s="113"/>
      <c r="X84" s="112"/>
      <c r="Y84" s="112"/>
      <c r="Z84" s="111"/>
    </row>
    <row r="85" spans="1:26" s="93" customFormat="1" ht="10.5" customHeight="1" x14ac:dyDescent="0.2">
      <c r="A85" s="94"/>
      <c r="B85" s="95"/>
      <c r="C85" s="98" t="str">
        <f>IF(P82=2,"(Eine Bestätigung des Fernwärmebetreibers ist beizulegen!)"," ")</f>
        <v xml:space="preserve"> </v>
      </c>
      <c r="D85" s="99"/>
      <c r="E85" s="99"/>
      <c r="F85" s="60"/>
      <c r="G85" s="60"/>
      <c r="H85" s="61"/>
      <c r="I85" s="121"/>
      <c r="J85" s="119"/>
      <c r="K85" s="199"/>
      <c r="L85" s="201"/>
      <c r="M85" s="201"/>
      <c r="N85" s="201"/>
      <c r="O85" s="201" t="s">
        <v>34</v>
      </c>
      <c r="P85" s="201"/>
      <c r="Q85" s="222" t="s">
        <v>128</v>
      </c>
      <c r="R85" s="223">
        <f>IF(OR(K82=2,N82=2,N82=3,P82=2),"nein",IF(OR(K82=1,N82=1,N82=4,P82=1),"ja",0))</f>
        <v>0</v>
      </c>
      <c r="S85" s="342"/>
      <c r="T85" s="115"/>
      <c r="U85" s="115"/>
      <c r="V85" s="115"/>
      <c r="W85" s="113"/>
      <c r="X85" s="112"/>
      <c r="Y85" s="112"/>
      <c r="Z85" s="111"/>
    </row>
    <row r="86" spans="1:26" s="93" customFormat="1" ht="3.75" customHeight="1" x14ac:dyDescent="0.2">
      <c r="A86" s="94"/>
      <c r="B86" s="100"/>
      <c r="C86" s="100"/>
      <c r="D86" s="1153"/>
      <c r="E86" s="1153"/>
      <c r="F86" s="1153"/>
      <c r="G86" s="1153"/>
      <c r="H86" s="1154"/>
      <c r="I86" s="121"/>
      <c r="J86" s="119"/>
      <c r="K86" s="119"/>
      <c r="L86" s="119"/>
      <c r="M86" s="119"/>
      <c r="N86" s="119"/>
      <c r="O86" s="119"/>
      <c r="P86" s="119"/>
      <c r="Q86" s="119"/>
      <c r="R86" s="119"/>
      <c r="S86" s="119"/>
      <c r="T86" s="115"/>
      <c r="U86" s="115"/>
      <c r="V86" s="115"/>
      <c r="W86" s="113"/>
      <c r="X86" s="112"/>
      <c r="Y86" s="112"/>
      <c r="Z86" s="111"/>
    </row>
    <row r="87" spans="1:26" s="93" customFormat="1" ht="17.100000000000001" customHeight="1" x14ac:dyDescent="0.2">
      <c r="A87" s="94"/>
      <c r="B87" s="101"/>
      <c r="C87" s="50"/>
      <c r="D87" s="102"/>
      <c r="E87" s="103" t="s">
        <v>53</v>
      </c>
      <c r="F87" s="104" t="str">
        <f>IF(OR(K82=2,N82=2,N82=3,P82=2),"aus technischen oder ökologischen Gründen nicht möglich.",IF(OR(K82=1,N82=1,N82=4,P82=1),"technisch möglich und ökologisch sinnvoll."," "))</f>
        <v xml:space="preserve"> </v>
      </c>
      <c r="G87" s="102"/>
      <c r="H87" s="105"/>
      <c r="I87" s="121"/>
      <c r="L87" s="119"/>
      <c r="M87" s="119"/>
      <c r="N87" s="119"/>
      <c r="O87" s="119"/>
      <c r="P87" s="119"/>
      <c r="Q87" s="119"/>
      <c r="R87" s="119"/>
      <c r="S87" s="119"/>
      <c r="T87" s="115"/>
      <c r="U87" s="115"/>
      <c r="V87" s="115"/>
      <c r="W87" s="113"/>
      <c r="X87" s="112"/>
      <c r="Y87" s="112"/>
      <c r="Z87" s="111"/>
    </row>
    <row r="88" spans="1:26" s="93" customFormat="1" ht="6.75" customHeight="1" x14ac:dyDescent="0.2">
      <c r="A88" s="153"/>
      <c r="B88" s="106"/>
      <c r="C88" s="107"/>
      <c r="D88" s="108"/>
      <c r="E88" s="108"/>
      <c r="F88" s="108"/>
      <c r="G88" s="108"/>
      <c r="H88" s="109"/>
      <c r="I88" s="121"/>
      <c r="L88" s="119"/>
      <c r="M88" s="119"/>
      <c r="N88" s="119"/>
      <c r="O88" s="119"/>
      <c r="P88" s="119"/>
      <c r="Q88" s="119"/>
      <c r="R88" s="119"/>
      <c r="S88" s="119"/>
      <c r="T88" s="115"/>
      <c r="U88" s="115"/>
      <c r="V88" s="115"/>
      <c r="W88" s="113"/>
      <c r="X88" s="112"/>
      <c r="Y88" s="112"/>
      <c r="Z88" s="111"/>
    </row>
    <row r="89" spans="1:26" ht="18" customHeight="1" x14ac:dyDescent="0.25">
      <c r="A89" s="30">
        <v>5</v>
      </c>
      <c r="B89" s="1111" t="s">
        <v>54</v>
      </c>
      <c r="C89" s="1112"/>
      <c r="D89" s="1112"/>
      <c r="E89" s="1112"/>
      <c r="F89" s="1112"/>
      <c r="G89" s="1112"/>
      <c r="H89" s="1113"/>
      <c r="I89" s="130"/>
      <c r="L89" s="119"/>
      <c r="M89" s="201"/>
      <c r="N89" s="201"/>
      <c r="O89" s="201"/>
      <c r="P89" s="201"/>
      <c r="Q89" s="201"/>
      <c r="R89" s="201"/>
      <c r="S89" s="201"/>
      <c r="T89" s="209"/>
      <c r="U89" s="115"/>
      <c r="V89" s="115"/>
      <c r="W89" s="113"/>
      <c r="X89" s="112"/>
      <c r="Y89" s="112"/>
      <c r="Z89" s="110"/>
    </row>
    <row r="90" spans="1:26" ht="17.100000000000001" customHeight="1" x14ac:dyDescent="0.2">
      <c r="A90" s="32" t="s">
        <v>57</v>
      </c>
      <c r="B90" s="1150" t="s">
        <v>58</v>
      </c>
      <c r="C90" s="1151"/>
      <c r="D90" s="1151"/>
      <c r="E90" s="1151"/>
      <c r="F90" s="1151"/>
      <c r="G90" s="1151"/>
      <c r="H90" s="1152"/>
      <c r="I90" s="132"/>
      <c r="K90" s="195" t="s">
        <v>61</v>
      </c>
      <c r="L90" s="197" t="s">
        <v>381</v>
      </c>
      <c r="M90" s="197"/>
      <c r="N90" s="197"/>
      <c r="O90" s="197"/>
      <c r="P90" s="197"/>
      <c r="Q90" s="197"/>
      <c r="R90" s="197"/>
      <c r="S90" s="119"/>
      <c r="T90" s="115"/>
      <c r="U90" s="516"/>
      <c r="V90" s="115"/>
      <c r="W90" s="113"/>
      <c r="X90" s="112"/>
      <c r="Y90" s="112"/>
      <c r="Z90" s="110"/>
    </row>
    <row r="91" spans="1:26" ht="17.100000000000001" customHeight="1" x14ac:dyDescent="0.25">
      <c r="A91" s="35"/>
      <c r="B91" s="38" t="s">
        <v>64</v>
      </c>
      <c r="C91" s="36"/>
      <c r="D91" s="36"/>
      <c r="E91" s="519" t="str">
        <f>IF(K95=1,"Hinweis: Eine Luft-Wärmepumpe ist nur für Gebäude bis zur Kategorie A empfehlenswert.","")</f>
        <v/>
      </c>
      <c r="F91" s="36"/>
      <c r="G91" s="39"/>
      <c r="H91" s="544"/>
      <c r="I91" s="133"/>
      <c r="J91" s="119"/>
      <c r="K91" s="205">
        <v>4</v>
      </c>
      <c r="L91" s="119" t="s">
        <v>382</v>
      </c>
      <c r="M91" s="119"/>
      <c r="N91" s="119"/>
      <c r="O91" s="119" t="s">
        <v>68</v>
      </c>
      <c r="P91" s="517">
        <f>Basisdaten!D33</f>
        <v>0</v>
      </c>
      <c r="Q91" s="119"/>
      <c r="R91" s="120" t="s">
        <v>129</v>
      </c>
      <c r="S91" s="223">
        <f>IF(AND(K95=1,H93&gt;0,H93&lt;=35,Q121&gt;0,Q121&lt;=25),"ja",IF(H93&gt;35,"nein",IF(AND(H93&gt;0,H93&lt;=35),"ja",0)))</f>
        <v>0</v>
      </c>
      <c r="T91" s="346"/>
      <c r="U91" s="115"/>
      <c r="V91" s="115"/>
      <c r="W91" s="113"/>
      <c r="X91" s="112"/>
      <c r="Y91" s="112"/>
      <c r="Z91" s="110"/>
    </row>
    <row r="92" spans="1:26" ht="7.5" customHeight="1" x14ac:dyDescent="0.25">
      <c r="A92" s="35"/>
      <c r="B92" s="18"/>
      <c r="C92" s="36"/>
      <c r="D92" s="36"/>
      <c r="E92" s="18"/>
      <c r="F92" s="56"/>
      <c r="G92" s="36"/>
      <c r="H92" s="545"/>
      <c r="I92" s="134"/>
      <c r="J92" s="119"/>
      <c r="K92" s="205"/>
      <c r="L92" s="122" t="s">
        <v>263</v>
      </c>
      <c r="M92" s="119"/>
      <c r="N92" s="119"/>
      <c r="O92" s="119"/>
      <c r="P92" s="119"/>
      <c r="Q92" s="119"/>
      <c r="R92" s="119"/>
      <c r="S92" s="119"/>
      <c r="T92" s="206"/>
      <c r="U92" s="115"/>
      <c r="V92" s="115"/>
      <c r="W92" s="113"/>
      <c r="X92" s="112"/>
      <c r="Y92" s="112"/>
      <c r="Z92" s="110"/>
    </row>
    <row r="93" spans="1:26" ht="15.75" customHeight="1" x14ac:dyDescent="0.25">
      <c r="A93" s="35"/>
      <c r="B93" s="38" t="s">
        <v>60</v>
      </c>
      <c r="C93" s="36"/>
      <c r="D93" s="36"/>
      <c r="E93" s="36"/>
      <c r="F93" s="58"/>
      <c r="G93" s="40" t="s">
        <v>59</v>
      </c>
      <c r="H93" s="256"/>
      <c r="I93" s="130"/>
      <c r="J93" s="119"/>
      <c r="K93" s="369"/>
      <c r="L93" s="119" t="s">
        <v>34</v>
      </c>
      <c r="M93" s="119"/>
      <c r="N93" s="119"/>
      <c r="O93" s="119" t="s">
        <v>96</v>
      </c>
      <c r="P93" s="119"/>
      <c r="Q93" s="119" t="s">
        <v>97</v>
      </c>
      <c r="R93" s="119"/>
      <c r="S93" s="119"/>
      <c r="T93" s="206"/>
      <c r="U93" s="115"/>
      <c r="V93" s="115"/>
      <c r="W93" s="113"/>
      <c r="X93" s="112"/>
      <c r="Y93" s="112"/>
      <c r="Z93" s="110"/>
    </row>
    <row r="94" spans="1:26" ht="1.5" customHeight="1" x14ac:dyDescent="0.25">
      <c r="A94" s="35"/>
      <c r="B94" s="38"/>
      <c r="C94" s="36"/>
      <c r="D94" s="36"/>
      <c r="E94" s="36"/>
      <c r="F94" s="58"/>
      <c r="G94" s="58"/>
      <c r="H94" s="518"/>
      <c r="I94" s="130"/>
      <c r="J94" s="119"/>
      <c r="K94" s="205" t="s">
        <v>64</v>
      </c>
      <c r="L94" s="119" t="s">
        <v>65</v>
      </c>
      <c r="M94" s="119"/>
      <c r="N94" s="119"/>
      <c r="O94" s="119"/>
      <c r="P94" s="119"/>
      <c r="Q94" s="119" t="s">
        <v>98</v>
      </c>
      <c r="R94" s="119"/>
      <c r="S94" s="119"/>
      <c r="T94" s="206"/>
      <c r="U94" s="115"/>
      <c r="V94" s="115"/>
      <c r="W94" s="113"/>
      <c r="X94" s="112"/>
      <c r="Y94" s="112"/>
      <c r="Z94" s="110"/>
    </row>
    <row r="95" spans="1:26" ht="15" customHeight="1" x14ac:dyDescent="0.25">
      <c r="A95" s="35"/>
      <c r="B95" s="59"/>
      <c r="C95" s="76" t="str">
        <f>IF(AND(H93&gt;0,H93&lt;=35,K91=1),"Vorlauf &lt; 35°C entspricht Niedertemperatursystem( bitte auswählen).",IF(OR(H93&gt;35,K91=1,K91=3),"Begründung, warum kein Niedertemperaturverteilsystem möglich ist:"," "))</f>
        <v xml:space="preserve"> </v>
      </c>
      <c r="D95" s="33"/>
      <c r="E95" s="33"/>
      <c r="F95" s="87"/>
      <c r="G95" s="1125"/>
      <c r="H95" s="1126"/>
      <c r="I95" s="130"/>
      <c r="J95" s="119"/>
      <c r="K95" s="205">
        <v>4</v>
      </c>
      <c r="L95" s="119" t="s">
        <v>67</v>
      </c>
      <c r="M95" s="119"/>
      <c r="N95" s="119"/>
      <c r="O95" s="119"/>
      <c r="P95" s="119">
        <v>7</v>
      </c>
      <c r="Q95" s="119" t="s">
        <v>99</v>
      </c>
      <c r="R95" s="119"/>
      <c r="S95" s="119"/>
      <c r="T95" s="206"/>
      <c r="U95" s="115"/>
      <c r="V95" s="115"/>
      <c r="W95" s="113"/>
      <c r="X95" s="112"/>
      <c r="Y95" s="112"/>
      <c r="Z95" s="110"/>
    </row>
    <row r="96" spans="1:26" ht="10.5" customHeight="1" x14ac:dyDescent="0.25">
      <c r="A96" s="35"/>
      <c r="B96" s="29"/>
      <c r="C96" s="33"/>
      <c r="D96" s="33"/>
      <c r="E96" s="33"/>
      <c r="F96" s="33"/>
      <c r="G96" s="33"/>
      <c r="H96" s="34"/>
      <c r="I96" s="129"/>
      <c r="J96" s="119"/>
      <c r="K96" s="205"/>
      <c r="L96" s="119" t="s">
        <v>66</v>
      </c>
      <c r="M96" s="119"/>
      <c r="N96" s="119"/>
      <c r="O96" s="119"/>
      <c r="P96" s="119"/>
      <c r="Q96" s="119" t="s">
        <v>100</v>
      </c>
      <c r="R96" s="119"/>
      <c r="S96" s="119"/>
      <c r="T96" s="206"/>
      <c r="U96" s="115"/>
      <c r="V96" s="115"/>
      <c r="W96" s="113"/>
      <c r="X96" s="112"/>
      <c r="Y96" s="112"/>
      <c r="Z96" s="110"/>
    </row>
    <row r="97" spans="1:26" ht="16.5" customHeight="1" x14ac:dyDescent="0.25">
      <c r="A97" s="35"/>
      <c r="B97" s="81"/>
      <c r="C97" s="82"/>
      <c r="D97" s="83" t="s">
        <v>72</v>
      </c>
      <c r="E97" s="84"/>
      <c r="F97" s="85"/>
      <c r="G97" s="82"/>
      <c r="H97" s="86"/>
      <c r="I97" s="129"/>
      <c r="J97" s="119"/>
      <c r="K97" s="205"/>
      <c r="L97" s="119" t="s">
        <v>34</v>
      </c>
      <c r="M97" s="119"/>
      <c r="N97" s="119"/>
      <c r="O97" s="119"/>
      <c r="P97" s="119"/>
      <c r="Q97" s="119" t="s">
        <v>101</v>
      </c>
      <c r="R97" s="119"/>
      <c r="S97" s="119"/>
      <c r="T97" s="206"/>
      <c r="U97" s="115"/>
      <c r="V97" s="115"/>
      <c r="W97" s="113"/>
      <c r="X97" s="112"/>
      <c r="Y97" s="112"/>
      <c r="Z97" s="110"/>
    </row>
    <row r="98" spans="1:26" ht="16.5" customHeight="1" x14ac:dyDescent="0.25">
      <c r="A98" s="35"/>
      <c r="B98" s="31"/>
      <c r="C98" s="508" t="str">
        <f>IF(AND(K91=4,K95=4,H93=0),"",IF(OR(H93=0,K91=4,K95=4),"Bitte vervollständigen Sie die Eingaben!",IF(AND(K95=1,H93&gt;0,H93&lt;=35,Q121&gt;0,Q121&lt;=25,K91=2),"bei diesem Gebäude sinnvoll (HWB bis 25 kWh/m²a).",IF(OR(K91=1,K91=3,H93&gt;35),"aus gebäudetechnischen Gründen nicht sinnvoll. Keine weitere Prüfung von Wärmepumpen notwendig!",IF(AND(K95=1,P91&gt;25),"mit der Wärmequelle Luft nicht sinnvoll. Wählen Sie eine andere Wärmequelle.",IF(AND(H93&gt;0,H93&lt;=35,K91=2),"aus gebäudetechnischer Sicht möglich und sinnvoll. Fahren Sie fort mit Punkt 5.1!"," "))))))</f>
        <v/>
      </c>
      <c r="D98" s="74"/>
      <c r="E98" s="70"/>
      <c r="F98" s="87"/>
      <c r="G98" s="33"/>
      <c r="H98" s="34"/>
      <c r="I98" s="129"/>
      <c r="J98" s="119"/>
      <c r="K98" s="205"/>
      <c r="L98" s="119"/>
      <c r="M98" s="119"/>
      <c r="N98" s="119"/>
      <c r="O98" s="119"/>
      <c r="P98" s="119"/>
      <c r="Q98" s="119" t="s">
        <v>102</v>
      </c>
      <c r="R98" s="119"/>
      <c r="S98" s="119"/>
      <c r="T98" s="206"/>
      <c r="U98" s="115"/>
      <c r="V98" s="115"/>
      <c r="W98" s="113"/>
      <c r="X98" s="112"/>
      <c r="Y98" s="112"/>
      <c r="Z98" s="110"/>
    </row>
    <row r="99" spans="1:26" ht="10.5" customHeight="1" x14ac:dyDescent="0.25">
      <c r="A99" s="35"/>
      <c r="B99" s="81"/>
      <c r="C99" s="212"/>
      <c r="D99" s="10"/>
      <c r="E99" s="68"/>
      <c r="F99" s="69"/>
      <c r="G99" s="36"/>
      <c r="H99" s="37"/>
      <c r="I99" s="129"/>
      <c r="J99" s="119"/>
      <c r="K99" s="199"/>
      <c r="L99" s="201"/>
      <c r="M99" s="201"/>
      <c r="N99" s="201"/>
      <c r="O99" s="201"/>
      <c r="P99" s="201"/>
      <c r="Q99" s="201" t="s">
        <v>105</v>
      </c>
      <c r="R99" s="201"/>
      <c r="S99" s="201"/>
      <c r="T99" s="207"/>
      <c r="U99" s="115"/>
      <c r="V99" s="115"/>
      <c r="W99" s="113"/>
      <c r="X99" s="112"/>
      <c r="Y99" s="112"/>
      <c r="Z99" s="110"/>
    </row>
    <row r="100" spans="1:26" ht="17.100000000000001" customHeight="1" x14ac:dyDescent="0.2">
      <c r="A100" s="32" t="s">
        <v>55</v>
      </c>
      <c r="B100" s="1150" t="s">
        <v>70</v>
      </c>
      <c r="C100" s="1151"/>
      <c r="D100" s="1151"/>
      <c r="E100" s="1151"/>
      <c r="F100" s="1151"/>
      <c r="G100" s="1151"/>
      <c r="H100" s="1152"/>
      <c r="I100" s="130"/>
      <c r="J100" s="119"/>
      <c r="K100" s="119"/>
      <c r="L100" s="119"/>
      <c r="M100" s="119"/>
      <c r="N100" s="119"/>
      <c r="O100" s="119"/>
      <c r="P100" s="210"/>
      <c r="Q100" s="210"/>
      <c r="R100" s="210"/>
      <c r="S100" s="210"/>
      <c r="T100" s="211"/>
      <c r="U100" s="115"/>
      <c r="V100" s="115"/>
      <c r="W100" s="113"/>
      <c r="X100" s="112"/>
      <c r="Y100" s="112"/>
      <c r="Z100" s="110"/>
    </row>
    <row r="101" spans="1:26" ht="57.75" customHeight="1" x14ac:dyDescent="0.2">
      <c r="A101" s="2"/>
      <c r="B101" s="1129" t="str">
        <f>IF(OR(H93=0,K91=4,K95=4)," ",IF(H93&gt;35,"Das geplante Gebäude erfüllt die Voraussetzungen für einen effizienten Betrieb einer Wärmepumpe NICHT! Von einer weiteren Prüfung kann Abstand genommen werden.",IF(AND(H93&gt;0,H93&lt;=35),CONCATENATE(P101,P102)," ")))</f>
        <v xml:space="preserve"> </v>
      </c>
      <c r="C101" s="1130"/>
      <c r="D101" s="1130"/>
      <c r="E101" s="1130"/>
      <c r="F101" s="1130"/>
      <c r="G101" s="1130"/>
      <c r="H101" s="1131"/>
      <c r="J101" s="119"/>
      <c r="K101" s="512"/>
      <c r="L101" s="223" t="str">
        <f>IF(AND(K91=4,K95=4,H93=0),"",IF(OR(H93=0,K91=4,K95=4),"",IF(AND(K95=1,H93&gt;0,H93&lt;=35,Q121&gt;0,Q121&lt;=25,K91=2),"ja",IF(OR(K91=1,K91=3,H93&gt;35),"nein",IF(AND(K95=1,P91&gt;25),"nein",IF(AND(H93&gt;0,H93&lt;=35,K91=2),"ja"," "))))))</f>
        <v/>
      </c>
      <c r="M101" s="119"/>
      <c r="N101" s="119"/>
      <c r="O101" s="214" t="s">
        <v>67</v>
      </c>
      <c r="P101" s="1144" t="s">
        <v>115</v>
      </c>
      <c r="Q101" s="1144"/>
      <c r="R101" s="1144"/>
      <c r="S101" s="1144"/>
      <c r="T101" s="1144"/>
      <c r="U101" s="1144"/>
      <c r="V101" s="1144"/>
      <c r="W101" s="113"/>
      <c r="X101" s="112"/>
      <c r="Y101" s="112"/>
      <c r="Z101" s="110"/>
    </row>
    <row r="102" spans="1:26" ht="10.5" customHeight="1" x14ac:dyDescent="0.2">
      <c r="A102" s="2"/>
      <c r="B102" s="1042"/>
      <c r="C102" s="1009"/>
      <c r="D102" s="1009"/>
      <c r="E102" s="1009"/>
      <c r="F102" s="1009"/>
      <c r="G102" s="1009"/>
      <c r="H102" s="1155"/>
      <c r="J102" s="119"/>
      <c r="K102" s="119"/>
      <c r="L102" s="119"/>
      <c r="M102" s="119"/>
      <c r="N102" s="119"/>
      <c r="O102" s="215"/>
      <c r="P102" s="199" t="s">
        <v>109</v>
      </c>
      <c r="Q102" s="199"/>
      <c r="R102" s="199"/>
      <c r="S102" s="199"/>
      <c r="T102" s="199"/>
      <c r="U102" s="199"/>
      <c r="V102" s="199"/>
      <c r="W102" s="113"/>
      <c r="X102" s="112"/>
      <c r="Y102" s="112"/>
      <c r="Z102" s="110"/>
    </row>
    <row r="103" spans="1:26" ht="17.100000000000001" customHeight="1" x14ac:dyDescent="0.2">
      <c r="A103" s="2"/>
      <c r="B103" s="1132" t="s">
        <v>103</v>
      </c>
      <c r="C103" s="1012"/>
      <c r="D103" s="1012"/>
      <c r="E103" s="1"/>
      <c r="F103" s="1"/>
      <c r="G103" s="1"/>
      <c r="H103" s="5"/>
      <c r="J103" s="119"/>
      <c r="K103" s="119"/>
      <c r="L103" s="119"/>
      <c r="M103" s="119"/>
      <c r="N103" s="119"/>
      <c r="O103" s="216"/>
      <c r="P103" s="199" t="s">
        <v>104</v>
      </c>
      <c r="Q103" s="201"/>
      <c r="R103" s="201"/>
      <c r="S103" s="201"/>
      <c r="T103" s="209"/>
      <c r="U103" s="115"/>
      <c r="V103" s="115"/>
      <c r="W103" s="113"/>
      <c r="X103" s="112"/>
      <c r="Y103" s="112"/>
      <c r="Z103" s="110"/>
    </row>
    <row r="104" spans="1:26" ht="7.5" customHeight="1" x14ac:dyDescent="0.2">
      <c r="A104" s="2"/>
      <c r="B104" s="3"/>
      <c r="C104" s="80"/>
      <c r="D104" s="26"/>
      <c r="E104" s="80"/>
      <c r="F104" s="26"/>
      <c r="G104" s="80"/>
      <c r="H104" s="44"/>
      <c r="J104" s="119"/>
      <c r="K104" s="119"/>
      <c r="L104" s="119"/>
      <c r="M104" s="119"/>
      <c r="N104" s="119"/>
      <c r="O104" s="119"/>
      <c r="P104" s="119"/>
      <c r="Q104" s="119"/>
      <c r="R104" s="119"/>
      <c r="S104" s="119"/>
      <c r="T104" s="115"/>
      <c r="U104" s="115"/>
      <c r="V104" s="115"/>
      <c r="W104" s="113"/>
      <c r="X104" s="112"/>
      <c r="Y104" s="112"/>
      <c r="Z104" s="110"/>
    </row>
    <row r="105" spans="1:26" ht="17.100000000000001" customHeight="1" x14ac:dyDescent="0.2">
      <c r="A105" s="2"/>
      <c r="B105" s="75" t="s">
        <v>74</v>
      </c>
      <c r="C105" s="4"/>
      <c r="D105" s="1"/>
      <c r="E105" s="75"/>
      <c r="F105" s="1"/>
      <c r="G105" s="1"/>
      <c r="H105" s="5"/>
      <c r="J105" s="119"/>
      <c r="K105" s="120" t="s">
        <v>130</v>
      </c>
      <c r="L105" s="223" t="str">
        <f>IF(AND(P95&gt;0,P95&lt;=6),"nein",IF(H93&lt;=35,"ja",0))</f>
        <v>ja</v>
      </c>
      <c r="M105" s="119"/>
      <c r="N105" s="119"/>
      <c r="O105" s="119"/>
      <c r="P105" s="201"/>
      <c r="Q105" s="201"/>
      <c r="R105" s="201"/>
      <c r="S105" s="201"/>
      <c r="T105" s="209"/>
      <c r="U105" s="209"/>
      <c r="V105" s="115"/>
      <c r="W105" s="113"/>
      <c r="X105" s="112"/>
      <c r="Y105" s="112"/>
      <c r="Z105" s="110"/>
    </row>
    <row r="106" spans="1:26" ht="16.5" customHeight="1" x14ac:dyDescent="0.2">
      <c r="A106" s="2"/>
      <c r="B106" s="42"/>
      <c r="C106" s="70" t="str">
        <f>IF(L101="","",IF(AND(P95&gt;0,P95&lt;=6),"aus bewilligungsrechtlichen Gründen nicht möglich. Es ist ggf. ein schriftlicher Nachweis zu erbringen!",IF(L101="ja","technisch und bewilligungsrechtlich möglich."," ")))</f>
        <v/>
      </c>
      <c r="D106" s="26"/>
      <c r="E106" s="26"/>
      <c r="F106" s="26"/>
      <c r="G106" s="26"/>
      <c r="H106" s="44"/>
      <c r="J106" s="119"/>
      <c r="K106" s="120" t="s">
        <v>131</v>
      </c>
      <c r="L106" s="223" t="str">
        <f>IF(AND(K110&gt;0,K110&lt;=5),"nein",IF(H93&lt;=35,"ja",0))</f>
        <v>ja</v>
      </c>
      <c r="M106" s="119"/>
      <c r="N106" s="119"/>
      <c r="O106" s="214" t="s">
        <v>66</v>
      </c>
      <c r="P106" s="1146" t="s">
        <v>114</v>
      </c>
      <c r="Q106" s="1144"/>
      <c r="R106" s="1144"/>
      <c r="S106" s="1144"/>
      <c r="T106" s="1144"/>
      <c r="U106" s="1144"/>
      <c r="V106" s="1144"/>
      <c r="W106" s="113"/>
      <c r="X106" s="112"/>
      <c r="Y106" s="112"/>
      <c r="Z106" s="110"/>
    </row>
    <row r="107" spans="1:26" ht="7.5" customHeight="1" x14ac:dyDescent="0.2">
      <c r="A107" s="9"/>
      <c r="B107" s="6"/>
      <c r="C107" s="7"/>
      <c r="D107" s="7"/>
      <c r="E107" s="7"/>
      <c r="F107" s="7"/>
      <c r="G107" s="7"/>
      <c r="H107" s="11"/>
      <c r="J107" s="119"/>
      <c r="K107" s="120" t="s">
        <v>132</v>
      </c>
      <c r="L107" s="223">
        <f>IF(AND(K118&gt;0,K118&lt;=2),"nein",IF(AND(H93&lt;=35,Q121&gt;0,Q121&lt;=25),"ja",0))</f>
        <v>0</v>
      </c>
      <c r="M107" s="119"/>
      <c r="N107" s="119"/>
      <c r="O107" s="216"/>
      <c r="P107" s="199" t="s">
        <v>123</v>
      </c>
      <c r="Q107" s="210"/>
      <c r="R107" s="210"/>
      <c r="S107" s="210"/>
      <c r="T107" s="211"/>
      <c r="U107" s="211"/>
      <c r="V107" s="115"/>
      <c r="W107" s="113"/>
      <c r="X107" s="112"/>
      <c r="Y107" s="112"/>
      <c r="Z107" s="110"/>
    </row>
    <row r="108" spans="1:26" ht="17.100000000000001" customHeight="1" x14ac:dyDescent="0.2">
      <c r="A108" s="32" t="s">
        <v>71</v>
      </c>
      <c r="B108" s="1150" t="s">
        <v>69</v>
      </c>
      <c r="C108" s="1151"/>
      <c r="D108" s="1151"/>
      <c r="E108" s="1151"/>
      <c r="F108" s="1151"/>
      <c r="G108" s="1151"/>
      <c r="H108" s="1152"/>
      <c r="J108" s="119"/>
      <c r="K108" s="119"/>
      <c r="L108" s="119"/>
      <c r="M108" s="119"/>
      <c r="N108" s="119"/>
      <c r="O108" s="119"/>
      <c r="W108" s="113"/>
      <c r="X108" s="112"/>
      <c r="Y108" s="112"/>
      <c r="Z108" s="110"/>
    </row>
    <row r="109" spans="1:26" ht="57.75" customHeight="1" x14ac:dyDescent="0.2">
      <c r="A109" s="2"/>
      <c r="B109" s="1129" t="str">
        <f>IF(OR(H93=0,K91=4,K95=4)," ",IF(H93&gt;35,"Das geplante Gebäude erfüllt die Voraussetzungen für einen effizienten Betrieb einer Wärmepumpe NICHT! Von einer weiteren Prüfung kann Abstand genommen werden.",IF(AND(H93&gt;0,H93&lt;=35),CONCATENATE(P106,P107)," ")))</f>
        <v xml:space="preserve"> </v>
      </c>
      <c r="C109" s="1130"/>
      <c r="D109" s="1130"/>
      <c r="E109" s="1130"/>
      <c r="F109" s="1130"/>
      <c r="G109" s="1130"/>
      <c r="H109" s="1131"/>
      <c r="J109" s="195"/>
      <c r="K109" s="208" t="s">
        <v>106</v>
      </c>
      <c r="L109" s="197" t="s">
        <v>97</v>
      </c>
      <c r="M109" s="197"/>
      <c r="N109" s="197"/>
      <c r="O109" s="217" t="s">
        <v>65</v>
      </c>
      <c r="P109" s="1147" t="s">
        <v>113</v>
      </c>
      <c r="Q109" s="1148"/>
      <c r="R109" s="1148"/>
      <c r="S109" s="1148"/>
      <c r="T109" s="1148"/>
      <c r="U109" s="1148"/>
      <c r="V109" s="1149"/>
      <c r="W109" s="113"/>
      <c r="X109" s="112"/>
      <c r="Y109" s="112"/>
      <c r="Z109" s="110"/>
    </row>
    <row r="110" spans="1:26" ht="10.5" customHeight="1" x14ac:dyDescent="0.2">
      <c r="A110" s="2"/>
      <c r="B110" s="3"/>
      <c r="C110" s="4"/>
      <c r="D110" s="4"/>
      <c r="E110" s="4"/>
      <c r="F110" s="4"/>
      <c r="G110" s="4"/>
      <c r="H110" s="5"/>
      <c r="J110" s="205"/>
      <c r="K110" s="119">
        <v>6</v>
      </c>
      <c r="L110" s="119" t="s">
        <v>107</v>
      </c>
      <c r="M110" s="119"/>
      <c r="N110" s="119"/>
      <c r="O110" s="215"/>
      <c r="P110" s="199" t="s">
        <v>124</v>
      </c>
      <c r="Q110" s="119"/>
      <c r="R110" s="119"/>
      <c r="S110" s="119"/>
      <c r="T110" s="115"/>
      <c r="U110" s="115"/>
      <c r="V110" s="206"/>
      <c r="W110" s="113"/>
      <c r="X110" s="112"/>
      <c r="Y110" s="112"/>
      <c r="Z110" s="110"/>
    </row>
    <row r="111" spans="1:26" ht="17.100000000000001" customHeight="1" x14ac:dyDescent="0.2">
      <c r="A111" s="2"/>
      <c r="B111" s="1132" t="s">
        <v>103</v>
      </c>
      <c r="C111" s="1012"/>
      <c r="D111" s="1012"/>
      <c r="E111" s="4"/>
      <c r="F111" s="4"/>
      <c r="G111" s="4"/>
      <c r="H111" s="5"/>
      <c r="J111" s="205"/>
      <c r="K111" s="119"/>
      <c r="L111" s="119" t="s">
        <v>98</v>
      </c>
      <c r="M111" s="119"/>
      <c r="N111" s="119"/>
      <c r="O111" s="204"/>
      <c r="P111" s="119" t="s">
        <v>122</v>
      </c>
      <c r="Q111" s="119"/>
      <c r="R111" s="119"/>
      <c r="S111" s="119"/>
      <c r="T111" s="115"/>
      <c r="U111" s="115"/>
      <c r="V111" s="206"/>
      <c r="W111" s="113"/>
      <c r="X111" s="112"/>
      <c r="Y111" s="112"/>
      <c r="Z111" s="110"/>
    </row>
    <row r="112" spans="1:26" ht="10.5" customHeight="1" x14ac:dyDescent="0.2">
      <c r="A112" s="2"/>
      <c r="B112" s="3"/>
      <c r="C112" s="80"/>
      <c r="D112" s="26"/>
      <c r="E112" s="26"/>
      <c r="F112" s="26"/>
      <c r="G112" s="26"/>
      <c r="H112" s="44"/>
      <c r="J112" s="205"/>
      <c r="K112" s="119"/>
      <c r="L112" s="119" t="s">
        <v>108</v>
      </c>
      <c r="M112" s="119"/>
      <c r="N112" s="119"/>
      <c r="O112" s="204"/>
      <c r="P112" s="199" t="s">
        <v>118</v>
      </c>
      <c r="Q112" s="201"/>
      <c r="R112" s="201"/>
      <c r="S112" s="201"/>
      <c r="T112" s="209"/>
      <c r="U112" s="209"/>
      <c r="V112" s="207"/>
      <c r="W112" s="113"/>
      <c r="X112" s="112"/>
      <c r="Y112" s="112"/>
      <c r="Z112" s="110"/>
    </row>
    <row r="113" spans="1:26" ht="17.100000000000001" customHeight="1" x14ac:dyDescent="0.2">
      <c r="A113" s="2"/>
      <c r="B113" s="75" t="s">
        <v>73</v>
      </c>
      <c r="C113" s="4"/>
      <c r="D113" s="4"/>
      <c r="E113" s="4"/>
      <c r="F113" s="4"/>
      <c r="G113" s="992"/>
      <c r="H113" s="1032"/>
      <c r="J113" s="205"/>
      <c r="K113" s="119"/>
      <c r="L113" s="119" t="s">
        <v>102</v>
      </c>
      <c r="M113" s="119"/>
      <c r="N113" s="119"/>
      <c r="O113" s="204"/>
      <c r="P113" s="119" t="s">
        <v>117</v>
      </c>
      <c r="Q113" s="119"/>
      <c r="R113" s="119"/>
      <c r="S113" s="119"/>
      <c r="T113" s="115"/>
      <c r="U113" s="115"/>
      <c r="V113" s="115"/>
      <c r="W113" s="113"/>
      <c r="X113" s="112"/>
      <c r="Y113" s="112"/>
      <c r="Z113" s="110"/>
    </row>
    <row r="114" spans="1:26" ht="16.5" customHeight="1" x14ac:dyDescent="0.2">
      <c r="A114" s="2"/>
      <c r="B114" s="42"/>
      <c r="C114" s="54" t="str">
        <f>IF(L101="","",IF(AND(K110&gt;0,K110&lt;=5),"aus bewilligungsrechtlichen Gründen nicht möglich. Es ist ggf. ein schriftlicher Nachweis zu erbringen!",IF(L101="ja","technisch und bewilligungsrechtlich möglich."," ")))</f>
        <v/>
      </c>
      <c r="D114" s="26"/>
      <c r="E114" s="26"/>
      <c r="F114" s="26"/>
      <c r="G114" s="43"/>
      <c r="H114" s="154"/>
      <c r="J114" s="199"/>
      <c r="K114" s="201"/>
      <c r="L114" s="201" t="s">
        <v>105</v>
      </c>
      <c r="M114" s="201"/>
      <c r="N114" s="201"/>
      <c r="O114" s="202"/>
      <c r="P114" s="119"/>
      <c r="Q114" s="119"/>
      <c r="R114" s="119"/>
      <c r="S114" s="119"/>
      <c r="T114" s="115"/>
      <c r="U114" s="115"/>
      <c r="V114" s="115"/>
      <c r="W114" s="113"/>
      <c r="X114" s="112"/>
      <c r="Y114" s="112"/>
      <c r="Z114" s="110"/>
    </row>
    <row r="115" spans="1:26" ht="7.5" customHeight="1" x14ac:dyDescent="0.2">
      <c r="A115" s="9"/>
      <c r="B115" s="6"/>
      <c r="C115" s="7"/>
      <c r="D115" s="7"/>
      <c r="E115" s="7"/>
      <c r="F115" s="7"/>
      <c r="G115" s="7"/>
      <c r="H115" s="11"/>
      <c r="J115" s="119"/>
      <c r="K115" s="119"/>
      <c r="L115" s="119"/>
      <c r="M115" s="119"/>
      <c r="N115" s="119"/>
      <c r="O115" s="119"/>
      <c r="P115" s="119"/>
      <c r="Q115" s="119"/>
      <c r="R115" s="119"/>
      <c r="S115" s="119"/>
      <c r="T115" s="115"/>
      <c r="U115" s="115"/>
      <c r="V115" s="115"/>
      <c r="W115" s="113"/>
      <c r="X115" s="112"/>
      <c r="Y115" s="112"/>
      <c r="Z115" s="110"/>
    </row>
    <row r="116" spans="1:26" s="93" customFormat="1" ht="17.100000000000001" customHeight="1" x14ac:dyDescent="0.2">
      <c r="A116" s="32" t="s">
        <v>111</v>
      </c>
      <c r="B116" s="1122" t="s">
        <v>112</v>
      </c>
      <c r="C116" s="1123"/>
      <c r="D116" s="1123"/>
      <c r="E116" s="1123"/>
      <c r="F116" s="1123"/>
      <c r="G116" s="1123"/>
      <c r="H116" s="1124"/>
      <c r="I116" s="155"/>
      <c r="J116" s="135"/>
      <c r="K116" s="135"/>
      <c r="L116" s="135"/>
      <c r="M116" s="135"/>
      <c r="N116" s="135"/>
      <c r="O116" s="135"/>
      <c r="P116" s="135"/>
      <c r="Q116" s="135"/>
      <c r="R116" s="135"/>
      <c r="S116" s="135"/>
      <c r="T116" s="351"/>
      <c r="U116" s="351"/>
      <c r="V116" s="351"/>
      <c r="W116" s="140"/>
    </row>
    <row r="117" spans="1:26" s="93" customFormat="1" ht="58.5" customHeight="1" x14ac:dyDescent="0.2">
      <c r="A117" s="2"/>
      <c r="B117" s="1129" t="str">
        <f>IF(OR(Q121=0,H93=0)," ",IF(OR(H93&gt;35,Q121&gt;25),CONCATENATE(P111,P112,P113),IF(OR(AND(Q121&gt;0,Q121&lt;=25),AND(H93&gt;0,H93&lt;=35)),CONCATENATE(P109,P110)," ")))</f>
        <v xml:space="preserve"> </v>
      </c>
      <c r="C117" s="1130"/>
      <c r="D117" s="1130"/>
      <c r="E117" s="1130"/>
      <c r="F117" s="1130"/>
      <c r="G117" s="1130"/>
      <c r="H117" s="1131"/>
      <c r="I117" s="155"/>
      <c r="J117" s="135"/>
      <c r="K117" s="352" t="s">
        <v>120</v>
      </c>
      <c r="L117" s="353" t="s">
        <v>121</v>
      </c>
      <c r="M117" s="354"/>
      <c r="N117" s="354"/>
      <c r="O117" s="355"/>
      <c r="P117" s="135"/>
      <c r="Q117" s="135"/>
      <c r="R117" s="135"/>
      <c r="S117" s="135"/>
      <c r="T117" s="351"/>
      <c r="U117" s="351"/>
      <c r="V117" s="351"/>
      <c r="W117" s="140"/>
    </row>
    <row r="118" spans="1:26" s="93" customFormat="1" ht="7.5" customHeight="1" x14ac:dyDescent="0.2">
      <c r="A118" s="2"/>
      <c r="B118" s="77"/>
      <c r="C118" s="78"/>
      <c r="D118" s="78"/>
      <c r="E118" s="78"/>
      <c r="F118" s="78"/>
      <c r="G118" s="78"/>
      <c r="H118" s="79"/>
      <c r="I118" s="155"/>
      <c r="J118" s="135"/>
      <c r="K118" s="356">
        <v>3</v>
      </c>
      <c r="L118" s="119" t="s">
        <v>102</v>
      </c>
      <c r="M118" s="135"/>
      <c r="N118" s="135"/>
      <c r="O118" s="357"/>
      <c r="P118" s="135"/>
      <c r="Q118" s="135"/>
      <c r="R118" s="135"/>
      <c r="S118" s="135"/>
      <c r="T118" s="351"/>
      <c r="U118" s="351"/>
      <c r="V118" s="351"/>
      <c r="W118" s="140"/>
    </row>
    <row r="119" spans="1:26" s="93" customFormat="1" ht="16.5" customHeight="1" x14ac:dyDescent="0.2">
      <c r="A119" s="2"/>
      <c r="B119" s="77"/>
      <c r="C119" s="1010" t="s">
        <v>56</v>
      </c>
      <c r="D119" s="1010"/>
      <c r="E119" s="213">
        <f>Basisdaten!D33</f>
        <v>0</v>
      </c>
      <c r="F119" s="1127" t="str">
        <f>IF(AND(OR(K40,K41,L41,M41,N41,O41)=TRUE,E119=0),"Bitte geben Sie unter KENNGRÖSSEN den Heizwärmebedarf ein!"," ")</f>
        <v>Bitte geben Sie unter KENNGRÖSSEN den Heizwärmebedarf ein!</v>
      </c>
      <c r="G119" s="1011"/>
      <c r="H119" s="1128"/>
      <c r="I119" s="155"/>
      <c r="J119" s="135"/>
      <c r="K119" s="358"/>
      <c r="L119" s="359" t="s">
        <v>105</v>
      </c>
      <c r="M119" s="135"/>
      <c r="N119" s="135"/>
      <c r="O119" s="357"/>
      <c r="P119" s="135"/>
      <c r="Q119" s="135"/>
      <c r="R119" s="135"/>
      <c r="S119" s="135"/>
      <c r="T119" s="351"/>
      <c r="U119" s="351"/>
      <c r="V119" s="351"/>
      <c r="W119" s="140"/>
    </row>
    <row r="120" spans="1:26" s="93" customFormat="1" ht="10.5" customHeight="1" x14ac:dyDescent="0.2">
      <c r="A120" s="2"/>
      <c r="B120" s="3"/>
      <c r="C120" s="4"/>
      <c r="D120" s="4"/>
      <c r="E120" s="4"/>
      <c r="F120" s="4"/>
      <c r="G120" s="4"/>
      <c r="H120" s="5"/>
      <c r="I120" s="155"/>
      <c r="J120" s="122"/>
      <c r="K120" s="356"/>
      <c r="L120" s="119"/>
      <c r="M120" s="135"/>
      <c r="N120" s="135"/>
      <c r="O120" s="357"/>
      <c r="P120" s="360" t="s">
        <v>146</v>
      </c>
      <c r="Q120" s="361">
        <f>Basisdaten!D29</f>
        <v>0</v>
      </c>
      <c r="R120" s="122"/>
      <c r="S120" s="122"/>
      <c r="T120" s="128"/>
      <c r="U120" s="128"/>
      <c r="V120" s="128"/>
      <c r="W120" s="140"/>
    </row>
    <row r="121" spans="1:26" s="93" customFormat="1" ht="16.5" customHeight="1" x14ac:dyDescent="0.2">
      <c r="A121" s="2"/>
      <c r="B121" s="1132" t="s">
        <v>103</v>
      </c>
      <c r="C121" s="1012"/>
      <c r="D121" s="1012"/>
      <c r="E121" s="4"/>
      <c r="F121" s="4"/>
      <c r="G121" s="995"/>
      <c r="H121" s="1143"/>
      <c r="I121" s="155"/>
      <c r="J121" s="122"/>
      <c r="K121" s="358"/>
      <c r="L121" s="359"/>
      <c r="M121" s="359"/>
      <c r="N121" s="359"/>
      <c r="O121" s="362"/>
      <c r="P121" s="363" t="s">
        <v>116</v>
      </c>
      <c r="Q121" s="364">
        <f>E119</f>
        <v>0</v>
      </c>
      <c r="R121" s="122"/>
      <c r="S121" s="122"/>
      <c r="T121" s="128"/>
      <c r="U121" s="128"/>
      <c r="V121" s="128"/>
      <c r="W121" s="140"/>
    </row>
    <row r="122" spans="1:26" s="93" customFormat="1" ht="13.5" customHeight="1" x14ac:dyDescent="0.2">
      <c r="A122" s="2"/>
      <c r="B122" s="3"/>
      <c r="C122" s="55" t="str">
        <f>IF(K118=1,"Die Lärmrichtwerte nach dem Informationsblatt Luftwärmepumpen (2013) des Lebensministeriums sind einzuhalten!"," ")</f>
        <v xml:space="preserve"> </v>
      </c>
      <c r="D122" s="4"/>
      <c r="E122" s="4"/>
      <c r="F122" s="4"/>
      <c r="G122" s="4"/>
      <c r="H122" s="273" t="str">
        <f>IF(K118=1,"hier klicken","")</f>
        <v/>
      </c>
      <c r="I122" s="155"/>
      <c r="J122" s="122"/>
      <c r="K122" s="135"/>
      <c r="L122" s="135"/>
      <c r="M122" s="135"/>
      <c r="N122" s="135"/>
      <c r="O122" s="135"/>
      <c r="P122" s="122"/>
      <c r="Q122" s="122"/>
      <c r="R122" s="122"/>
      <c r="S122" s="122"/>
      <c r="T122" s="128"/>
      <c r="U122" s="128"/>
      <c r="V122" s="128"/>
      <c r="W122" s="140"/>
    </row>
    <row r="123" spans="1:26" s="93" customFormat="1" ht="5.25" customHeight="1" x14ac:dyDescent="0.2">
      <c r="A123" s="2"/>
      <c r="B123" s="4"/>
      <c r="C123" s="80"/>
      <c r="D123" s="26"/>
      <c r="E123" s="26"/>
      <c r="F123" s="26"/>
      <c r="G123" s="4"/>
      <c r="H123" s="5"/>
      <c r="I123" s="155"/>
      <c r="J123" s="122"/>
      <c r="K123" s="135"/>
      <c r="L123" s="135"/>
      <c r="M123" s="135"/>
      <c r="N123" s="135"/>
      <c r="O123" s="135"/>
      <c r="P123" s="122"/>
      <c r="Q123" s="122"/>
      <c r="R123" s="122"/>
      <c r="S123" s="122"/>
      <c r="T123" s="128"/>
      <c r="U123" s="128"/>
      <c r="V123" s="128"/>
      <c r="W123" s="140"/>
    </row>
    <row r="124" spans="1:26" s="93" customFormat="1" ht="16.5" customHeight="1" x14ac:dyDescent="0.2">
      <c r="A124" s="2"/>
      <c r="B124" s="75" t="s">
        <v>119</v>
      </c>
      <c r="C124" s="4"/>
      <c r="D124" s="4"/>
      <c r="E124" s="4"/>
      <c r="F124" s="4"/>
      <c r="G124" s="1119"/>
      <c r="H124" s="1120"/>
      <c r="I124" s="155"/>
      <c r="J124" s="122"/>
      <c r="K124" s="135"/>
      <c r="L124" s="135"/>
      <c r="M124" s="135"/>
      <c r="N124" s="135"/>
      <c r="O124" s="135"/>
      <c r="P124" s="122"/>
      <c r="Q124" s="122"/>
      <c r="R124" s="122"/>
      <c r="S124" s="122"/>
      <c r="T124" s="128"/>
      <c r="U124" s="128"/>
      <c r="V124" s="128"/>
      <c r="W124" s="140"/>
    </row>
    <row r="125" spans="1:26" s="93" customFormat="1" ht="17.100000000000001" customHeight="1" x14ac:dyDescent="0.2">
      <c r="A125" s="2"/>
      <c r="B125" s="42"/>
      <c r="C125" s="1117" t="str">
        <f>IF(L101="","",IF(AND(K118&gt;0,K118&lt;=2),"aus bewilligungsrechtlichen Gründen nicht möglich. Es ist ggf. ein schriftlicher Nachweis zu erbringen!",IF(AND(H93&gt;0,H93&lt;=35,Q121&gt;0,Q121&lt;=25),"technisch und bewilligungsrechtlich möglich.",IF(Q121&gt;25,"aufgrund des zu hohen HWB nicht sinnvoll."," "))))</f>
        <v/>
      </c>
      <c r="D125" s="1117"/>
      <c r="E125" s="1117"/>
      <c r="F125" s="1117"/>
      <c r="G125" s="1117"/>
      <c r="H125" s="1118"/>
      <c r="I125" s="155"/>
      <c r="J125" s="122"/>
      <c r="K125" s="363"/>
      <c r="L125" s="135"/>
      <c r="M125" s="365"/>
      <c r="N125" s="135"/>
      <c r="O125" s="135"/>
      <c r="P125" s="122"/>
      <c r="Q125" s="122"/>
      <c r="R125" s="122"/>
      <c r="S125" s="122"/>
      <c r="T125" s="128"/>
      <c r="U125" s="128"/>
      <c r="V125" s="128"/>
      <c r="W125" s="140"/>
    </row>
    <row r="126" spans="1:26" s="93" customFormat="1" ht="7.5" customHeight="1" x14ac:dyDescent="0.2">
      <c r="A126" s="9"/>
      <c r="B126" s="6"/>
      <c r="C126" s="7"/>
      <c r="D126" s="7"/>
      <c r="E126" s="7"/>
      <c r="F126" s="7"/>
      <c r="G126" s="7"/>
      <c r="H126" s="11"/>
      <c r="I126" s="155"/>
      <c r="J126" s="122"/>
      <c r="K126" s="135"/>
      <c r="L126" s="135"/>
      <c r="M126" s="135"/>
      <c r="N126" s="135"/>
      <c r="O126" s="135"/>
      <c r="P126" s="122"/>
      <c r="Q126" s="122"/>
      <c r="R126" s="122"/>
      <c r="S126" s="122"/>
      <c r="T126" s="128"/>
      <c r="U126" s="128"/>
      <c r="V126" s="128"/>
      <c r="W126" s="140"/>
    </row>
    <row r="127" spans="1:26" s="93" customFormat="1" ht="18" customHeight="1" x14ac:dyDescent="0.25">
      <c r="A127" s="276" t="s">
        <v>134</v>
      </c>
      <c r="B127" s="1111" t="s">
        <v>133</v>
      </c>
      <c r="C127" s="1112"/>
      <c r="D127" s="1112"/>
      <c r="E127" s="1112"/>
      <c r="F127" s="1112"/>
      <c r="G127" s="1112"/>
      <c r="H127" s="1113"/>
      <c r="I127" s="155"/>
      <c r="J127" s="122"/>
      <c r="K127" s="135"/>
      <c r="L127" s="135"/>
      <c r="M127" s="135"/>
      <c r="N127" s="135"/>
      <c r="O127" s="135"/>
      <c r="P127" s="122"/>
      <c r="Q127" s="122"/>
      <c r="R127" s="122"/>
      <c r="S127" s="122"/>
      <c r="T127" s="128"/>
      <c r="U127" s="128"/>
      <c r="V127" s="128"/>
      <c r="W127" s="140"/>
    </row>
    <row r="128" spans="1:26" s="93" customFormat="1" ht="16.5" customHeight="1" x14ac:dyDescent="0.2">
      <c r="A128" s="91"/>
      <c r="B128" s="48" t="s">
        <v>135</v>
      </c>
      <c r="C128" s="48"/>
      <c r="D128" s="48"/>
      <c r="E128" s="137"/>
      <c r="F128" s="158"/>
      <c r="G128" s="157"/>
      <c r="H128" s="136"/>
      <c r="I128" s="155"/>
      <c r="J128" s="122"/>
      <c r="K128" s="122"/>
      <c r="L128" s="122"/>
      <c r="M128" s="122"/>
      <c r="N128" s="122"/>
      <c r="O128" s="122"/>
      <c r="P128" s="122"/>
      <c r="Q128" s="122"/>
      <c r="R128" s="122"/>
      <c r="S128" s="122"/>
      <c r="T128" s="128"/>
      <c r="U128" s="128"/>
      <c r="V128" s="128"/>
      <c r="W128" s="140"/>
    </row>
    <row r="129" spans="1:23" s="93" customFormat="1" ht="10.5" customHeight="1" x14ac:dyDescent="0.2">
      <c r="A129" s="94"/>
      <c r="B129" s="88"/>
      <c r="C129" s="88"/>
      <c r="D129" s="48"/>
      <c r="E129" s="48"/>
      <c r="F129" s="48"/>
      <c r="G129" s="159"/>
      <c r="H129" s="225"/>
      <c r="I129" s="160"/>
      <c r="J129" s="122"/>
      <c r="K129" s="122"/>
      <c r="L129" s="359"/>
      <c r="M129" s="122"/>
      <c r="N129" s="359"/>
      <c r="O129" s="122"/>
      <c r="P129" s="122"/>
      <c r="Q129" s="122"/>
      <c r="R129" s="122"/>
      <c r="S129" s="122"/>
      <c r="T129" s="128"/>
      <c r="U129" s="128"/>
      <c r="V129" s="128"/>
      <c r="W129" s="140"/>
    </row>
    <row r="130" spans="1:23" s="93" customFormat="1" ht="17.100000000000001" customHeight="1" x14ac:dyDescent="0.25">
      <c r="A130" s="229"/>
      <c r="B130" s="224"/>
      <c r="C130" s="96" t="str">
        <f>IF(COUNTIF($K$130:$K$133,"ja")&lt;1,"",VLOOKUP(1,$L$130:$M$133,2,FALSE))</f>
        <v/>
      </c>
      <c r="D130" s="224"/>
      <c r="E130" s="224"/>
      <c r="F130" s="224"/>
      <c r="G130" s="224"/>
      <c r="H130" s="226"/>
      <c r="I130" s="155"/>
      <c r="J130" s="122"/>
      <c r="K130" s="366">
        <f>Q64</f>
        <v>0</v>
      </c>
      <c r="L130" s="367">
        <f>IF(OR(K130=0,K130="nein"),0,1)</f>
        <v>0</v>
      </c>
      <c r="M130" s="368" t="str">
        <f>B54</f>
        <v>Solaranlage</v>
      </c>
      <c r="N130" s="355"/>
      <c r="O130" s="122"/>
      <c r="P130" s="122"/>
      <c r="Q130" s="122"/>
      <c r="R130" s="122"/>
      <c r="S130" s="122"/>
      <c r="T130" s="128"/>
      <c r="U130" s="128"/>
      <c r="V130" s="128"/>
      <c r="W130" s="140"/>
    </row>
    <row r="131" spans="1:23" s="93" customFormat="1" ht="17.100000000000001" customHeight="1" x14ac:dyDescent="0.2">
      <c r="A131" s="94"/>
      <c r="B131" s="96"/>
      <c r="C131" s="96" t="str">
        <f>IF(COUNTIF($K$130:$K$133,"ja")&lt;2,"",VLOOKUP(2,$L$130:$M$133,2,FALSE))</f>
        <v/>
      </c>
      <c r="D131" s="96"/>
      <c r="E131" s="96"/>
      <c r="F131" s="96"/>
      <c r="G131" s="96"/>
      <c r="H131" s="227"/>
      <c r="I131" s="155"/>
      <c r="J131" s="122"/>
      <c r="K131" s="369">
        <f>R78</f>
        <v>0</v>
      </c>
      <c r="L131" s="367" t="str">
        <f>IF(OR(K131=0,K131="nein"),"",1+L130)</f>
        <v/>
      </c>
      <c r="M131" s="135" t="str">
        <f>B67</f>
        <v>Biomasse</v>
      </c>
      <c r="N131" s="357"/>
      <c r="O131" s="122"/>
      <c r="P131" s="122"/>
      <c r="Q131" s="122"/>
      <c r="R131" s="122"/>
      <c r="S131" s="122"/>
      <c r="T131" s="128"/>
      <c r="U131" s="128"/>
      <c r="V131" s="128"/>
      <c r="W131" s="140"/>
    </row>
    <row r="132" spans="1:23" s="93" customFormat="1" ht="17.100000000000001" customHeight="1" x14ac:dyDescent="0.2">
      <c r="A132" s="94"/>
      <c r="B132" s="96"/>
      <c r="C132" s="96" t="str">
        <f>IF(COUNTIF($K$130:$K$133,"ja")&lt;3,"",VLOOKUP(4,$L$130:$M$133,2,FALSE))</f>
        <v/>
      </c>
      <c r="D132" s="96"/>
      <c r="E132" s="96"/>
      <c r="F132" s="96"/>
      <c r="G132" s="96"/>
      <c r="H132" s="228"/>
      <c r="I132" s="155"/>
      <c r="J132" s="122"/>
      <c r="K132" s="369">
        <f>R85</f>
        <v>0</v>
      </c>
      <c r="L132" s="367" t="str">
        <f>IF(OR(K132=0,K132="nein"),"",1+SUM(L130:L131))</f>
        <v/>
      </c>
      <c r="M132" s="135" t="str">
        <f>B80</f>
        <v>Nah- oder Fernwärme</v>
      </c>
      <c r="N132" s="357"/>
      <c r="O132" s="122"/>
      <c r="P132" s="122"/>
      <c r="Q132" s="122"/>
      <c r="R132" s="122"/>
      <c r="S132" s="122"/>
      <c r="T132" s="128"/>
      <c r="U132" s="128"/>
      <c r="V132" s="128"/>
      <c r="W132" s="140"/>
    </row>
    <row r="133" spans="1:23" s="93" customFormat="1" ht="16.5" customHeight="1" x14ac:dyDescent="0.2">
      <c r="A133" s="94"/>
      <c r="B133" s="48"/>
      <c r="C133" s="96" t="str">
        <f>IF(COUNTIF($K$130:$K$133,"ja")&lt;4,"",VLOOKUP(8,$L$130:$M$133,2,FALSE))</f>
        <v/>
      </c>
      <c r="D133" s="96"/>
      <c r="E133" s="16"/>
      <c r="F133" s="96"/>
      <c r="G133" s="96"/>
      <c r="H133" s="228"/>
      <c r="I133" s="155"/>
      <c r="J133" s="122"/>
      <c r="K133" s="358">
        <f>S91</f>
        <v>0</v>
      </c>
      <c r="L133" s="384" t="str">
        <f>IF(OR(K133=0,K133="nein"),"",1+SUM(L130:L132))</f>
        <v/>
      </c>
      <c r="M133" s="359" t="str">
        <f>IF(O133="ja",B89,"")</f>
        <v>Wärmepumpe</v>
      </c>
      <c r="N133" s="362"/>
      <c r="O133" s="122" t="str">
        <f>IF(OR(L105="ja",L106="ja",L107="ja"),"ja",0)</f>
        <v>ja</v>
      </c>
      <c r="P133" s="122"/>
      <c r="Q133" s="122"/>
      <c r="R133" s="122"/>
      <c r="S133" s="122"/>
      <c r="T133" s="128"/>
      <c r="U133" s="128"/>
      <c r="V133" s="128"/>
      <c r="W133" s="140"/>
    </row>
    <row r="134" spans="1:23" s="93" customFormat="1" ht="7.5" customHeight="1" x14ac:dyDescent="0.2">
      <c r="A134" s="94"/>
      <c r="B134" s="48"/>
      <c r="C134" s="96"/>
      <c r="D134" s="96"/>
      <c r="E134" s="513"/>
      <c r="F134" s="96"/>
      <c r="G134" s="96"/>
      <c r="H134" s="228"/>
      <c r="I134" s="155"/>
      <c r="J134" s="122"/>
      <c r="K134" s="135"/>
      <c r="L134" s="368"/>
      <c r="M134" s="135"/>
      <c r="N134" s="135"/>
      <c r="O134" s="122"/>
      <c r="P134" s="122"/>
      <c r="Q134" s="122"/>
      <c r="R134" s="122"/>
      <c r="S134" s="122"/>
      <c r="T134" s="128"/>
      <c r="U134" s="128"/>
      <c r="V134" s="128"/>
      <c r="W134" s="140"/>
    </row>
    <row r="135" spans="1:23" s="93" customFormat="1" ht="24" customHeight="1" x14ac:dyDescent="0.2">
      <c r="A135" s="534" t="s">
        <v>83</v>
      </c>
      <c r="B135" s="1133" t="s">
        <v>266</v>
      </c>
      <c r="C135" s="1134"/>
      <c r="D135" s="1134"/>
      <c r="E135" s="1134"/>
      <c r="F135" s="1134"/>
      <c r="G135" s="1134"/>
      <c r="H135" s="1135"/>
      <c r="I135" s="155"/>
      <c r="J135" s="122"/>
      <c r="K135" s="135"/>
      <c r="L135" s="387"/>
      <c r="M135" s="135"/>
      <c r="N135" s="135"/>
      <c r="O135" s="122"/>
      <c r="P135" s="122"/>
      <c r="Q135" s="122"/>
      <c r="R135" s="122"/>
      <c r="S135" s="122"/>
      <c r="T135" s="128"/>
      <c r="U135" s="128"/>
      <c r="V135" s="128"/>
      <c r="W135" s="140"/>
    </row>
    <row r="136" spans="1:23" s="93" customFormat="1" ht="16.5" customHeight="1" x14ac:dyDescent="0.2">
      <c r="A136" s="94"/>
      <c r="B136" s="12" t="s">
        <v>264</v>
      </c>
      <c r="C136" s="914"/>
      <c r="D136" s="914"/>
      <c r="E136" s="902"/>
      <c r="F136" s="914"/>
      <c r="G136" s="914"/>
      <c r="H136" s="915"/>
      <c r="I136" s="155"/>
      <c r="J136" s="122"/>
      <c r="K136" s="366" t="s">
        <v>265</v>
      </c>
      <c r="L136" s="385"/>
      <c r="M136" s="135"/>
      <c r="N136" s="135"/>
      <c r="O136" s="122"/>
      <c r="P136" s="122"/>
      <c r="Q136" s="122"/>
      <c r="R136" s="122"/>
      <c r="S136" s="122"/>
      <c r="T136" s="128"/>
      <c r="U136" s="128"/>
      <c r="V136" s="128"/>
      <c r="W136" s="140"/>
    </row>
    <row r="137" spans="1:23" s="93" customFormat="1" ht="16.5" customHeight="1" x14ac:dyDescent="0.2">
      <c r="A137" s="94"/>
      <c r="B137" s="12"/>
      <c r="C137" s="914"/>
      <c r="D137" s="914"/>
      <c r="E137" s="840" t="str">
        <f>IF(AND(K137=2,OR('Vereinfachtes Verfahren'!J14="nein",'Vereinfachtes Verfahren'!J34=2)),"Fahren Sie fort mit dem Tabellenblatt Wirtschaftlichkeitsberechnung","")</f>
        <v/>
      </c>
      <c r="F137" s="914"/>
      <c r="G137" s="914"/>
      <c r="H137" s="915"/>
      <c r="I137" s="155"/>
      <c r="K137" s="358">
        <v>2</v>
      </c>
      <c r="L137" s="383"/>
      <c r="M137" s="135"/>
      <c r="N137" s="135"/>
      <c r="O137" s="122"/>
      <c r="P137" s="122"/>
      <c r="Q137" s="122"/>
      <c r="R137" s="122"/>
      <c r="S137" s="122"/>
      <c r="T137" s="128"/>
      <c r="U137" s="128"/>
      <c r="V137" s="128"/>
      <c r="W137" s="140"/>
    </row>
    <row r="138" spans="1:23" s="93" customFormat="1" ht="16.5" customHeight="1" x14ac:dyDescent="0.2">
      <c r="A138" s="94"/>
      <c r="B138" s="12"/>
      <c r="C138" s="914"/>
      <c r="D138" s="914"/>
      <c r="E138" s="840" t="str">
        <f>IF(AND(K137=1,OR('Vereinfachtes Verfahren'!J14="nein",'Vereinfachtes Verfahren'!J34=2)),"Gehen Sie zurück zum Blatt Basisdaten und wählen Sie Ihr neues System.","")</f>
        <v/>
      </c>
      <c r="F138" s="914"/>
      <c r="G138" s="914"/>
      <c r="H138" s="915"/>
      <c r="I138" s="155"/>
      <c r="J138" s="122"/>
      <c r="K138" s="135"/>
      <c r="L138" s="387"/>
      <c r="M138" s="135"/>
      <c r="N138" s="135"/>
      <c r="O138" s="122"/>
      <c r="P138" s="122"/>
      <c r="Q138" s="122"/>
      <c r="R138" s="122"/>
      <c r="S138" s="122"/>
      <c r="T138" s="128"/>
      <c r="U138" s="128"/>
      <c r="V138" s="128"/>
      <c r="W138" s="140"/>
    </row>
    <row r="139" spans="1:23" s="93" customFormat="1" ht="7.5" customHeight="1" x14ac:dyDescent="0.2">
      <c r="A139" s="94"/>
      <c r="B139" s="12"/>
      <c r="C139" s="12"/>
      <c r="D139" s="12"/>
      <c r="E139" s="902"/>
      <c r="F139" s="914"/>
      <c r="G139" s="914"/>
      <c r="H139" s="915"/>
      <c r="I139" s="155"/>
      <c r="J139" s="122"/>
      <c r="K139" s="367"/>
      <c r="L139" s="387"/>
      <c r="M139" s="367"/>
      <c r="N139" s="122"/>
      <c r="O139" s="122"/>
      <c r="P139" s="122"/>
      <c r="Q139" s="122"/>
      <c r="R139" s="122"/>
      <c r="S139" s="122"/>
      <c r="T139" s="128"/>
      <c r="U139" s="128"/>
      <c r="V139" s="128"/>
      <c r="W139" s="140"/>
    </row>
    <row r="140" spans="1:23" s="93" customFormat="1" ht="50.25" customHeight="1" x14ac:dyDescent="0.2">
      <c r="A140" s="94"/>
      <c r="B140" s="1114" t="str">
        <f>IF(AND(K137=2,OR('Vereinfachtes Verfahren'!J34=2,'Vereinfachtes Verfahren'!J14="nein")),CONCATENATE(K140,K142), IF(AND(K137=1,OR('Vereinfachtes Verfahren'!J34=2,'Vereinfachtes Verfahren'!J14="nein")),"Verändern Sie im Tabellenblatt Basisdaten unter dem Punkt Art des Hauptheizsystems ihre Eingaben. 
Hinweis: Vergessen Sie bitte nicht, das ursprüngliche System zu löschen.",""))</f>
        <v/>
      </c>
      <c r="C140" s="1115"/>
      <c r="D140" s="1115"/>
      <c r="E140" s="1115"/>
      <c r="F140" s="1115"/>
      <c r="G140" s="1115"/>
      <c r="H140" s="1116"/>
      <c r="I140" s="155"/>
      <c r="J140" s="122"/>
      <c r="K140" s="537" t="s">
        <v>360</v>
      </c>
      <c r="L140" s="536"/>
      <c r="M140" s="536"/>
      <c r="N140" s="536"/>
      <c r="O140" s="536"/>
      <c r="P140" s="536"/>
      <c r="Q140" s="536"/>
      <c r="R140" s="536"/>
      <c r="S140" s="122"/>
      <c r="T140" s="128"/>
      <c r="U140" s="128"/>
      <c r="V140" s="128"/>
      <c r="W140" s="140"/>
    </row>
    <row r="141" spans="1:23" s="93" customFormat="1" ht="7.5" customHeight="1" x14ac:dyDescent="0.2">
      <c r="A141" s="153"/>
      <c r="B141" s="1109"/>
      <c r="C141" s="1109"/>
      <c r="D141" s="1109"/>
      <c r="E141" s="1109"/>
      <c r="F141" s="1109"/>
      <c r="G141" s="1109"/>
      <c r="H141" s="1110"/>
      <c r="I141" s="155"/>
      <c r="J141" s="122"/>
      <c r="K141" s="122"/>
      <c r="L141" s="122"/>
      <c r="M141" s="122"/>
      <c r="N141" s="122"/>
      <c r="O141" s="122"/>
      <c r="P141" s="122"/>
      <c r="Q141" s="122"/>
      <c r="R141" s="122"/>
      <c r="S141" s="122"/>
      <c r="T141" s="128"/>
      <c r="U141" s="128"/>
      <c r="V141" s="128"/>
      <c r="W141" s="140"/>
    </row>
    <row r="142" spans="1:23" s="93" customFormat="1" ht="17.100000000000001" customHeight="1" x14ac:dyDescent="0.2">
      <c r="A142" s="161"/>
      <c r="B142" s="162"/>
      <c r="C142" s="162"/>
      <c r="D142" s="48"/>
      <c r="E142" s="16"/>
      <c r="F142" s="1005"/>
      <c r="G142" s="1005"/>
      <c r="H142" s="1005"/>
      <c r="I142" s="155"/>
      <c r="J142" s="122"/>
      <c r="K142" s="122" t="s">
        <v>275</v>
      </c>
      <c r="L142" s="122"/>
      <c r="M142" s="122"/>
      <c r="N142" s="122"/>
      <c r="O142" s="122"/>
      <c r="P142" s="122"/>
      <c r="Q142" s="122"/>
      <c r="R142" s="122"/>
      <c r="S142" s="122"/>
      <c r="T142" s="128"/>
      <c r="U142" s="128"/>
      <c r="V142" s="128"/>
      <c r="W142" s="140"/>
    </row>
    <row r="143" spans="1:23" s="93" customFormat="1" ht="17.100000000000001" customHeight="1" x14ac:dyDescent="0.2">
      <c r="A143" s="161"/>
      <c r="B143" s="162"/>
      <c r="C143" s="162"/>
      <c r="D143" s="48"/>
      <c r="E143" s="16"/>
      <c r="F143" s="1005"/>
      <c r="G143" s="1005"/>
      <c r="H143" s="1005"/>
      <c r="I143" s="155"/>
      <c r="J143" s="122"/>
      <c r="K143" s="122"/>
      <c r="L143" s="122"/>
      <c r="M143" s="122"/>
      <c r="N143" s="122"/>
      <c r="O143" s="122"/>
      <c r="P143" s="122"/>
      <c r="Q143" s="122"/>
      <c r="R143" s="122"/>
      <c r="S143" s="122"/>
      <c r="T143" s="128"/>
      <c r="U143" s="128"/>
      <c r="V143" s="128"/>
      <c r="W143" s="140"/>
    </row>
    <row r="144" spans="1:23" s="93" customFormat="1" ht="17.100000000000001" customHeight="1" x14ac:dyDescent="0.2">
      <c r="A144" s="161"/>
      <c r="B144" s="162"/>
      <c r="C144" s="162"/>
      <c r="D144" s="48"/>
      <c r="E144" s="16"/>
      <c r="F144" s="1005"/>
      <c r="G144" s="1005"/>
      <c r="H144" s="1005"/>
      <c r="I144" s="155"/>
      <c r="J144" s="122"/>
      <c r="K144" s="122"/>
      <c r="L144" s="122"/>
      <c r="M144" s="122"/>
      <c r="N144" s="122"/>
      <c r="O144" s="122"/>
      <c r="P144" s="122"/>
      <c r="Q144" s="122"/>
      <c r="R144" s="122"/>
      <c r="S144" s="122"/>
      <c r="T144" s="128"/>
      <c r="U144" s="128"/>
      <c r="V144" s="128"/>
      <c r="W144" s="140"/>
    </row>
    <row r="145" spans="1:23" s="93" customFormat="1" ht="17.100000000000001" customHeight="1" x14ac:dyDescent="0.25">
      <c r="A145" s="161"/>
      <c r="B145" s="48"/>
      <c r="C145" s="48"/>
      <c r="D145" s="527"/>
      <c r="E145" s="528"/>
      <c r="F145" s="528"/>
      <c r="G145" s="528"/>
      <c r="H145" s="528"/>
      <c r="I145" s="528"/>
      <c r="J145" s="528"/>
      <c r="K145" s="528"/>
      <c r="L145" s="122"/>
      <c r="M145" s="122"/>
      <c r="N145" s="122"/>
      <c r="O145" s="122"/>
      <c r="P145" s="122"/>
      <c r="Q145" s="122"/>
      <c r="R145" s="122"/>
      <c r="S145" s="122"/>
      <c r="T145" s="128"/>
      <c r="U145" s="128"/>
      <c r="V145" s="128"/>
      <c r="W145" s="140"/>
    </row>
    <row r="146" spans="1:23" s="93" customFormat="1" ht="17.100000000000001" customHeight="1" x14ac:dyDescent="0.25">
      <c r="A146" s="163"/>
      <c r="B146" s="994"/>
      <c r="C146" s="994"/>
      <c r="D146" s="994"/>
      <c r="E146" s="994"/>
      <c r="F146" s="994"/>
      <c r="G146" s="994"/>
      <c r="H146" s="994"/>
      <c r="I146" s="155"/>
      <c r="J146" s="122"/>
      <c r="K146" s="122"/>
      <c r="L146" s="122"/>
      <c r="M146" s="122"/>
      <c r="N146" s="122"/>
      <c r="O146" s="122"/>
      <c r="P146" s="122"/>
      <c r="Q146" s="122"/>
      <c r="R146" s="122"/>
      <c r="S146" s="122"/>
      <c r="T146" s="128"/>
      <c r="U146" s="128"/>
      <c r="V146" s="128"/>
      <c r="W146" s="140"/>
    </row>
    <row r="147" spans="1:23" s="93" customFormat="1" ht="17.100000000000001" customHeight="1" x14ac:dyDescent="0.2">
      <c r="A147" s="161"/>
      <c r="B147" s="48"/>
      <c r="C147" s="48"/>
      <c r="D147" s="48"/>
      <c r="E147" s="48"/>
      <c r="F147" s="48"/>
      <c r="G147" s="48"/>
      <c r="H147" s="48"/>
      <c r="I147" s="155"/>
      <c r="J147" s="122"/>
      <c r="K147" s="122"/>
      <c r="L147" s="122"/>
      <c r="M147" s="122"/>
      <c r="N147" s="122"/>
      <c r="O147" s="122"/>
      <c r="P147" s="122"/>
      <c r="Q147" s="122"/>
      <c r="R147" s="122"/>
      <c r="S147" s="122"/>
      <c r="T147" s="128"/>
      <c r="U147" s="128"/>
      <c r="V147" s="128"/>
      <c r="W147" s="140"/>
    </row>
    <row r="148" spans="1:23" s="93" customFormat="1" ht="17.100000000000001" customHeight="1" x14ac:dyDescent="0.2">
      <c r="A148" s="161"/>
      <c r="B148" s="48"/>
      <c r="C148" s="48"/>
      <c r="D148" s="48"/>
      <c r="E148" s="48"/>
      <c r="F148" s="48"/>
      <c r="G148" s="48"/>
      <c r="H148" s="48"/>
      <c r="I148" s="155"/>
      <c r="J148" s="122"/>
      <c r="K148" s="122"/>
      <c r="L148" s="122"/>
      <c r="M148" s="122"/>
      <c r="N148" s="122"/>
      <c r="O148" s="122"/>
      <c r="P148" s="122"/>
      <c r="Q148" s="122"/>
      <c r="R148" s="122"/>
      <c r="S148" s="122"/>
      <c r="T148" s="128"/>
      <c r="U148" s="128"/>
      <c r="V148" s="128"/>
      <c r="W148" s="140"/>
    </row>
    <row r="149" spans="1:23" s="93" customFormat="1" ht="17.100000000000001" customHeight="1" x14ac:dyDescent="0.2">
      <c r="A149" s="161"/>
      <c r="B149" s="48"/>
      <c r="C149" s="48"/>
      <c r="D149" s="48"/>
      <c r="E149" s="48"/>
      <c r="F149" s="48"/>
      <c r="G149" s="48"/>
      <c r="H149" s="48"/>
      <c r="I149" s="155"/>
      <c r="J149" s="122"/>
      <c r="K149" s="122"/>
      <c r="L149" s="122"/>
      <c r="M149" s="122"/>
      <c r="N149" s="122"/>
      <c r="O149" s="122"/>
      <c r="P149" s="122"/>
      <c r="Q149" s="122"/>
      <c r="R149" s="122"/>
      <c r="S149" s="122"/>
      <c r="T149" s="128"/>
      <c r="U149" s="128"/>
      <c r="V149" s="128"/>
      <c r="W149" s="140"/>
    </row>
    <row r="150" spans="1:23" s="93" customFormat="1" ht="17.100000000000001" customHeight="1" x14ac:dyDescent="0.2">
      <c r="A150" s="161"/>
      <c r="B150" s="48"/>
      <c r="C150" s="48"/>
      <c r="D150" s="48"/>
      <c r="E150" s="48"/>
      <c r="F150" s="48"/>
      <c r="G150" s="48"/>
      <c r="H150" s="48"/>
      <c r="I150" s="155"/>
      <c r="J150" s="122"/>
      <c r="K150" s="122"/>
      <c r="L150" s="122"/>
      <c r="M150" s="122"/>
      <c r="N150" s="122"/>
      <c r="O150" s="122"/>
      <c r="P150" s="122"/>
      <c r="Q150" s="122"/>
      <c r="R150" s="122"/>
      <c r="S150" s="122"/>
      <c r="T150" s="128"/>
      <c r="U150" s="128"/>
      <c r="V150" s="128"/>
      <c r="W150" s="140"/>
    </row>
    <row r="151" spans="1:23" s="93" customFormat="1" ht="17.100000000000001" customHeight="1" x14ac:dyDescent="0.2">
      <c r="A151" s="161"/>
      <c r="B151" s="164"/>
      <c r="C151" s="164"/>
      <c r="D151" s="48"/>
      <c r="E151" s="48"/>
      <c r="F151" s="48"/>
      <c r="G151" s="48"/>
      <c r="H151" s="48"/>
      <c r="I151" s="155"/>
      <c r="J151" s="122"/>
      <c r="K151" s="122"/>
      <c r="L151" s="122"/>
      <c r="M151" s="122"/>
      <c r="N151" s="122"/>
      <c r="O151" s="122"/>
      <c r="P151" s="122"/>
      <c r="Q151" s="122"/>
      <c r="R151" s="122"/>
      <c r="S151" s="122"/>
      <c r="T151" s="128"/>
      <c r="U151" s="128"/>
      <c r="V151" s="128"/>
      <c r="W151" s="140"/>
    </row>
    <row r="152" spans="1:23" s="93" customFormat="1" ht="17.100000000000001" customHeight="1" x14ac:dyDescent="0.2">
      <c r="A152" s="161"/>
      <c r="B152" s="164"/>
      <c r="C152" s="164"/>
      <c r="D152" s="48"/>
      <c r="E152" s="48"/>
      <c r="F152" s="48"/>
      <c r="G152" s="48"/>
      <c r="H152" s="48"/>
      <c r="I152" s="155"/>
      <c r="J152" s="122"/>
      <c r="K152" s="122"/>
      <c r="L152" s="122"/>
      <c r="M152" s="122"/>
      <c r="N152" s="122"/>
      <c r="O152" s="122"/>
      <c r="P152" s="122"/>
      <c r="Q152" s="122"/>
      <c r="R152" s="122"/>
      <c r="S152" s="122"/>
      <c r="T152" s="128"/>
      <c r="U152" s="128"/>
      <c r="V152" s="128"/>
      <c r="W152" s="140"/>
    </row>
    <row r="153" spans="1:23" s="93" customFormat="1" ht="17.100000000000001" customHeight="1" x14ac:dyDescent="0.2">
      <c r="A153" s="161"/>
      <c r="B153" s="48"/>
      <c r="C153" s="48"/>
      <c r="D153" s="48"/>
      <c r="E153" s="48"/>
      <c r="F153" s="48"/>
      <c r="G153" s="48"/>
      <c r="H153" s="48"/>
      <c r="I153" s="155"/>
      <c r="J153" s="122"/>
      <c r="K153" s="122"/>
      <c r="L153" s="122"/>
      <c r="M153" s="122"/>
      <c r="N153" s="122"/>
      <c r="O153" s="122"/>
      <c r="P153" s="122"/>
      <c r="Q153" s="122"/>
      <c r="R153" s="122"/>
      <c r="S153" s="122"/>
      <c r="T153" s="128"/>
      <c r="U153" s="128"/>
      <c r="V153" s="128"/>
      <c r="W153" s="140"/>
    </row>
    <row r="154" spans="1:23" s="93" customFormat="1" ht="17.100000000000001" customHeight="1" x14ac:dyDescent="0.2">
      <c r="A154" s="161"/>
      <c r="B154" s="48"/>
      <c r="C154" s="48"/>
      <c r="D154" s="48"/>
      <c r="E154" s="48"/>
      <c r="F154" s="48"/>
      <c r="G154" s="48"/>
      <c r="H154" s="48"/>
      <c r="I154" s="155"/>
      <c r="J154" s="122"/>
      <c r="K154" s="122"/>
      <c r="L154" s="122"/>
      <c r="M154" s="122"/>
      <c r="N154" s="122"/>
      <c r="O154" s="122"/>
      <c r="P154" s="122"/>
      <c r="Q154" s="122"/>
      <c r="R154" s="122"/>
      <c r="S154" s="122"/>
      <c r="T154" s="128"/>
      <c r="U154" s="128"/>
      <c r="V154" s="128"/>
      <c r="W154" s="140"/>
    </row>
    <row r="155" spans="1:23" s="93" customFormat="1" ht="17.100000000000001" customHeight="1" x14ac:dyDescent="0.2">
      <c r="A155" s="161"/>
      <c r="B155" s="48"/>
      <c r="C155" s="48"/>
      <c r="D155" s="48"/>
      <c r="E155" s="48"/>
      <c r="F155" s="48"/>
      <c r="G155" s="48"/>
      <c r="H155" s="48"/>
      <c r="I155" s="155"/>
      <c r="J155" s="122"/>
      <c r="K155" s="122"/>
      <c r="L155" s="122"/>
      <c r="M155" s="122"/>
      <c r="N155" s="122"/>
      <c r="O155" s="122"/>
      <c r="P155" s="122"/>
      <c r="Q155" s="122"/>
      <c r="R155" s="122"/>
      <c r="S155" s="122"/>
      <c r="T155" s="128"/>
      <c r="U155" s="128"/>
      <c r="V155" s="128"/>
      <c r="W155" s="140"/>
    </row>
    <row r="156" spans="1:23" s="93" customFormat="1" ht="17.100000000000001" customHeight="1" x14ac:dyDescent="0.2">
      <c r="A156" s="161"/>
      <c r="B156" s="48"/>
      <c r="C156" s="48"/>
      <c r="D156" s="48"/>
      <c r="E156" s="48"/>
      <c r="F156" s="48"/>
      <c r="G156" s="48"/>
      <c r="H156" s="48"/>
      <c r="I156" s="155"/>
      <c r="J156" s="122"/>
      <c r="K156" s="122"/>
      <c r="L156" s="122"/>
      <c r="M156" s="122"/>
      <c r="N156" s="122"/>
      <c r="O156" s="122"/>
      <c r="P156" s="122"/>
      <c r="Q156" s="122"/>
      <c r="R156" s="122"/>
      <c r="S156" s="122"/>
      <c r="T156" s="128"/>
      <c r="U156" s="128"/>
      <c r="V156" s="128"/>
      <c r="W156" s="140"/>
    </row>
    <row r="157" spans="1:23" s="93" customFormat="1" ht="17.100000000000001" customHeight="1" x14ac:dyDescent="0.2">
      <c r="A157" s="161"/>
      <c r="B157" s="48"/>
      <c r="C157" s="48"/>
      <c r="D157" s="48"/>
      <c r="E157" s="48"/>
      <c r="F157" s="48"/>
      <c r="G157" s="48"/>
      <c r="H157" s="48"/>
      <c r="I157" s="155"/>
      <c r="J157" s="122"/>
      <c r="K157" s="122"/>
      <c r="L157" s="122"/>
      <c r="M157" s="122"/>
      <c r="N157" s="122"/>
      <c r="O157" s="122"/>
      <c r="P157" s="122"/>
      <c r="Q157" s="122"/>
      <c r="R157" s="122"/>
      <c r="S157" s="122"/>
      <c r="T157" s="128"/>
      <c r="U157" s="128"/>
      <c r="V157" s="128"/>
      <c r="W157" s="140"/>
    </row>
    <row r="158" spans="1:23" s="93" customFormat="1" ht="17.100000000000001" customHeight="1" x14ac:dyDescent="0.2">
      <c r="A158" s="161"/>
      <c r="B158" s="48"/>
      <c r="C158" s="48"/>
      <c r="D158" s="48"/>
      <c r="E158" s="48"/>
      <c r="F158" s="992"/>
      <c r="G158" s="992"/>
      <c r="H158" s="992"/>
      <c r="I158" s="155"/>
      <c r="J158" s="122"/>
      <c r="K158" s="122"/>
      <c r="L158" s="122"/>
      <c r="M158" s="122"/>
      <c r="N158" s="122"/>
      <c r="O158" s="122"/>
      <c r="P158" s="122"/>
      <c r="Q158" s="122"/>
      <c r="R158" s="122"/>
      <c r="S158" s="122"/>
      <c r="T158" s="128"/>
      <c r="U158" s="128"/>
      <c r="V158" s="128"/>
      <c r="W158" s="140"/>
    </row>
    <row r="159" spans="1:23" s="93" customFormat="1" ht="17.100000000000001" customHeight="1" x14ac:dyDescent="0.2">
      <c r="A159" s="176"/>
      <c r="B159" s="48"/>
      <c r="C159" s="48"/>
      <c r="D159" s="48"/>
      <c r="E159" s="48"/>
      <c r="F159" s="48"/>
      <c r="G159" s="48"/>
      <c r="H159" s="48"/>
      <c r="I159" s="155"/>
      <c r="J159" s="122"/>
      <c r="K159" s="122"/>
      <c r="L159" s="122"/>
      <c r="M159" s="122"/>
      <c r="N159" s="122"/>
      <c r="O159" s="122"/>
      <c r="P159" s="122"/>
      <c r="Q159" s="122"/>
      <c r="R159" s="122"/>
      <c r="S159" s="122"/>
      <c r="T159" s="128"/>
      <c r="U159" s="128"/>
      <c r="V159" s="128"/>
      <c r="W159" s="140"/>
    </row>
    <row r="160" spans="1:23" s="93" customFormat="1" ht="17.100000000000001" customHeight="1" x14ac:dyDescent="0.2">
      <c r="A160" s="176"/>
      <c r="B160" s="48"/>
      <c r="C160" s="48"/>
      <c r="D160" s="48"/>
      <c r="E160" s="48"/>
      <c r="F160" s="48"/>
      <c r="G160" s="48"/>
      <c r="H160" s="48"/>
      <c r="I160" s="155"/>
      <c r="J160" s="122"/>
      <c r="K160" s="122"/>
      <c r="L160" s="122"/>
      <c r="M160" s="122"/>
      <c r="N160" s="122"/>
      <c r="O160" s="122"/>
      <c r="P160" s="122"/>
      <c r="Q160" s="122"/>
      <c r="R160" s="122"/>
      <c r="S160" s="122"/>
      <c r="T160" s="128"/>
      <c r="U160" s="128"/>
      <c r="V160" s="128"/>
      <c r="W160" s="140"/>
    </row>
    <row r="161" spans="1:23" s="93" customFormat="1" ht="17.100000000000001" customHeight="1" x14ac:dyDescent="0.25">
      <c r="A161" s="163"/>
      <c r="B161" s="994"/>
      <c r="C161" s="994"/>
      <c r="D161" s="994"/>
      <c r="E161" s="994"/>
      <c r="F161" s="994"/>
      <c r="G161" s="994"/>
      <c r="H161" s="994"/>
      <c r="I161" s="155"/>
      <c r="J161" s="122"/>
      <c r="K161" s="122"/>
      <c r="L161" s="122"/>
      <c r="M161" s="122"/>
      <c r="N161" s="122"/>
      <c r="O161" s="122"/>
      <c r="P161" s="122"/>
      <c r="Q161" s="122"/>
      <c r="R161" s="122"/>
      <c r="S161" s="122"/>
      <c r="T161" s="128"/>
      <c r="U161" s="128"/>
      <c r="V161" s="128"/>
      <c r="W161" s="140"/>
    </row>
    <row r="162" spans="1:23" s="93" customFormat="1" ht="17.100000000000001" customHeight="1" x14ac:dyDescent="0.2">
      <c r="A162" s="161"/>
      <c r="B162" s="48"/>
      <c r="C162" s="48"/>
      <c r="D162" s="48"/>
      <c r="E162" s="48"/>
      <c r="F162" s="48"/>
      <c r="G162" s="48"/>
      <c r="H162" s="48"/>
      <c r="I162" s="155"/>
      <c r="J162" s="122"/>
      <c r="K162" s="122"/>
      <c r="L162" s="122"/>
      <c r="M162" s="122"/>
      <c r="N162" s="122"/>
      <c r="O162" s="122"/>
      <c r="P162" s="122"/>
      <c r="Q162" s="122"/>
      <c r="R162" s="122"/>
      <c r="S162" s="122"/>
      <c r="T162" s="128"/>
      <c r="U162" s="128"/>
      <c r="V162" s="128"/>
      <c r="W162" s="140"/>
    </row>
    <row r="163" spans="1:23" s="93" customFormat="1" ht="17.100000000000001" customHeight="1" x14ac:dyDescent="0.2">
      <c r="A163" s="161"/>
      <c r="B163" s="48"/>
      <c r="C163" s="48"/>
      <c r="D163" s="48"/>
      <c r="E163" s="992"/>
      <c r="F163" s="992"/>
      <c r="G163" s="992"/>
      <c r="H163" s="992"/>
      <c r="I163" s="155"/>
      <c r="J163" s="122"/>
      <c r="K163" s="122"/>
      <c r="L163" s="122"/>
      <c r="M163" s="122"/>
      <c r="N163" s="122"/>
      <c r="O163" s="122"/>
      <c r="P163" s="122"/>
      <c r="Q163" s="122"/>
      <c r="R163" s="122"/>
      <c r="S163" s="122"/>
      <c r="T163" s="128"/>
      <c r="U163" s="128"/>
      <c r="V163" s="128"/>
      <c r="W163" s="140"/>
    </row>
    <row r="164" spans="1:23" s="93" customFormat="1" ht="17.100000000000001" customHeight="1" x14ac:dyDescent="0.2">
      <c r="A164" s="161"/>
      <c r="B164" s="48"/>
      <c r="C164" s="48"/>
      <c r="D164" s="48"/>
      <c r="E164" s="992"/>
      <c r="F164" s="992"/>
      <c r="G164" s="992"/>
      <c r="H164" s="992"/>
      <c r="I164" s="155"/>
      <c r="J164" s="122"/>
      <c r="K164" s="122"/>
      <c r="L164" s="122"/>
      <c r="M164" s="122"/>
      <c r="N164" s="122"/>
      <c r="O164" s="122"/>
      <c r="P164" s="122"/>
      <c r="Q164" s="122"/>
      <c r="R164" s="122"/>
      <c r="S164" s="122"/>
      <c r="T164" s="128"/>
      <c r="U164" s="128"/>
      <c r="V164" s="128"/>
      <c r="W164" s="140"/>
    </row>
    <row r="165" spans="1:23" s="93" customFormat="1" ht="17.100000000000001" customHeight="1" x14ac:dyDescent="0.2">
      <c r="A165" s="161"/>
      <c r="B165" s="48"/>
      <c r="C165" s="48"/>
      <c r="D165" s="48"/>
      <c r="E165" s="992"/>
      <c r="F165" s="992"/>
      <c r="G165" s="992"/>
      <c r="H165" s="992"/>
      <c r="I165" s="155"/>
      <c r="J165" s="122"/>
      <c r="K165" s="122"/>
      <c r="L165" s="122"/>
      <c r="M165" s="122"/>
      <c r="N165" s="122"/>
      <c r="O165" s="122"/>
      <c r="P165" s="122"/>
      <c r="Q165" s="122"/>
      <c r="R165" s="122"/>
      <c r="S165" s="122"/>
      <c r="T165" s="128"/>
      <c r="U165" s="128"/>
      <c r="V165" s="128"/>
      <c r="W165" s="140"/>
    </row>
    <row r="166" spans="1:23" s="93" customFormat="1" ht="17.100000000000001" customHeight="1" x14ac:dyDescent="0.2">
      <c r="A166" s="161"/>
      <c r="B166" s="48"/>
      <c r="C166" s="48"/>
      <c r="D166" s="48"/>
      <c r="E166" s="992"/>
      <c r="F166" s="992"/>
      <c r="G166" s="992"/>
      <c r="H166" s="992"/>
      <c r="I166" s="155"/>
      <c r="J166" s="122"/>
      <c r="K166" s="122"/>
      <c r="L166" s="122"/>
      <c r="M166" s="122"/>
      <c r="N166" s="122"/>
      <c r="O166" s="122"/>
      <c r="P166" s="122"/>
      <c r="Q166" s="122"/>
      <c r="R166" s="122"/>
      <c r="S166" s="122"/>
      <c r="T166" s="128"/>
      <c r="U166" s="128"/>
      <c r="V166" s="128"/>
      <c r="W166" s="140"/>
    </row>
    <row r="167" spans="1:23" s="93" customFormat="1" ht="17.100000000000001" customHeight="1" x14ac:dyDescent="0.2">
      <c r="A167" s="161"/>
      <c r="B167" s="48"/>
      <c r="C167" s="48"/>
      <c r="D167" s="48"/>
      <c r="E167" s="72"/>
      <c r="F167" s="156"/>
      <c r="G167" s="992"/>
      <c r="H167" s="992"/>
      <c r="I167" s="155"/>
      <c r="J167" s="122"/>
      <c r="K167" s="122"/>
      <c r="L167" s="122"/>
      <c r="M167" s="122"/>
      <c r="N167" s="122"/>
      <c r="O167" s="122"/>
      <c r="P167" s="122"/>
      <c r="Q167" s="122"/>
      <c r="R167" s="122"/>
      <c r="S167" s="122"/>
      <c r="T167" s="128"/>
      <c r="U167" s="128"/>
      <c r="V167" s="128"/>
      <c r="W167" s="140"/>
    </row>
    <row r="168" spans="1:23" s="93" customFormat="1" ht="17.100000000000001" customHeight="1" x14ac:dyDescent="0.2">
      <c r="A168" s="161"/>
      <c r="B168" s="48"/>
      <c r="C168" s="48"/>
      <c r="D168" s="48"/>
      <c r="E168" s="72"/>
      <c r="F168" s="156"/>
      <c r="G168" s="72"/>
      <c r="H168" s="72"/>
      <c r="I168" s="155"/>
      <c r="J168" s="122"/>
      <c r="K168" s="122"/>
      <c r="L168" s="122"/>
      <c r="M168" s="122"/>
      <c r="N168" s="122"/>
      <c r="O168" s="122"/>
      <c r="P168" s="122"/>
      <c r="Q168" s="122"/>
      <c r="R168" s="122"/>
      <c r="S168" s="122"/>
      <c r="T168" s="128"/>
      <c r="U168" s="128"/>
      <c r="V168" s="128"/>
      <c r="W168" s="140"/>
    </row>
    <row r="169" spans="1:23" s="93" customFormat="1" ht="17.100000000000001" customHeight="1" x14ac:dyDescent="0.25">
      <c r="A169" s="163"/>
      <c r="B169" s="994"/>
      <c r="C169" s="994"/>
      <c r="D169" s="994"/>
      <c r="E169" s="994"/>
      <c r="F169" s="994"/>
      <c r="G169" s="994"/>
      <c r="H169" s="994"/>
      <c r="I169" s="155"/>
      <c r="J169" s="122"/>
      <c r="K169" s="122"/>
      <c r="L169" s="122"/>
      <c r="M169" s="122"/>
      <c r="N169" s="122"/>
      <c r="O169" s="122"/>
      <c r="P169" s="122"/>
      <c r="Q169" s="122"/>
      <c r="R169" s="122"/>
      <c r="S169" s="122"/>
      <c r="T169" s="128"/>
      <c r="U169" s="128"/>
      <c r="V169" s="128"/>
      <c r="W169" s="140"/>
    </row>
    <row r="170" spans="1:23" s="93" customFormat="1" ht="17.100000000000001" customHeight="1" x14ac:dyDescent="0.2">
      <c r="A170" s="161"/>
      <c r="B170" s="177"/>
      <c r="C170" s="177"/>
      <c r="D170" s="48"/>
      <c r="E170" s="48"/>
      <c r="F170" s="48"/>
      <c r="G170" s="48"/>
      <c r="H170" s="48"/>
      <c r="I170" s="155"/>
      <c r="J170" s="122"/>
      <c r="K170" s="122"/>
      <c r="L170" s="122"/>
      <c r="M170" s="122"/>
      <c r="N170" s="122"/>
      <c r="O170" s="122"/>
      <c r="P170" s="122"/>
      <c r="Q170" s="122"/>
      <c r="R170" s="122"/>
      <c r="S170" s="122"/>
      <c r="T170" s="128"/>
      <c r="U170" s="128"/>
      <c r="V170" s="128"/>
      <c r="W170" s="140"/>
    </row>
    <row r="171" spans="1:23" s="93" customFormat="1" ht="17.100000000000001" customHeight="1" x14ac:dyDescent="0.2">
      <c r="A171" s="161"/>
      <c r="B171" s="48"/>
      <c r="C171" s="48"/>
      <c r="D171" s="48"/>
      <c r="E171" s="992"/>
      <c r="F171" s="992"/>
      <c r="G171" s="992"/>
      <c r="H171" s="992"/>
      <c r="I171" s="155"/>
      <c r="J171" s="122"/>
      <c r="K171" s="122"/>
      <c r="L171" s="122"/>
      <c r="M171" s="122"/>
      <c r="N171" s="122"/>
      <c r="O171" s="122"/>
      <c r="P171" s="122"/>
      <c r="Q171" s="122"/>
      <c r="R171" s="122"/>
      <c r="S171" s="122"/>
      <c r="T171" s="128"/>
      <c r="U171" s="128"/>
      <c r="V171" s="128"/>
      <c r="W171" s="140"/>
    </row>
    <row r="172" spans="1:23" s="93" customFormat="1" ht="17.100000000000001" customHeight="1" x14ac:dyDescent="0.2">
      <c r="A172" s="161"/>
      <c r="B172" s="48"/>
      <c r="C172" s="48"/>
      <c r="D172" s="48"/>
      <c r="E172" s="992"/>
      <c r="F172" s="992"/>
      <c r="G172" s="992"/>
      <c r="H172" s="992"/>
      <c r="I172" s="155"/>
      <c r="J172" s="122"/>
      <c r="K172" s="122"/>
      <c r="L172" s="122"/>
      <c r="M172" s="122"/>
      <c r="N172" s="122"/>
      <c r="O172" s="122"/>
      <c r="P172" s="122"/>
      <c r="Q172" s="122"/>
      <c r="R172" s="122"/>
      <c r="S172" s="122"/>
      <c r="T172" s="128"/>
      <c r="U172" s="128"/>
      <c r="V172" s="128"/>
      <c r="W172" s="140"/>
    </row>
    <row r="173" spans="1:23" s="93" customFormat="1" ht="17.100000000000001" customHeight="1" x14ac:dyDescent="0.2">
      <c r="A173" s="161"/>
      <c r="B173" s="48"/>
      <c r="C173" s="48"/>
      <c r="D173" s="48"/>
      <c r="E173" s="992"/>
      <c r="F173" s="1003"/>
      <c r="G173" s="1003"/>
      <c r="H173" s="1003"/>
      <c r="I173" s="155"/>
      <c r="J173" s="122"/>
      <c r="K173" s="122"/>
      <c r="L173" s="122"/>
      <c r="M173" s="122"/>
      <c r="N173" s="122"/>
      <c r="O173" s="122"/>
      <c r="P173" s="122"/>
      <c r="Q173" s="122"/>
      <c r="R173" s="122"/>
      <c r="S173" s="122"/>
      <c r="T173" s="128"/>
      <c r="U173" s="128"/>
      <c r="V173" s="128"/>
      <c r="W173" s="140"/>
    </row>
    <row r="174" spans="1:23" s="93" customFormat="1" ht="17.100000000000001" customHeight="1" x14ac:dyDescent="0.2">
      <c r="A174" s="161"/>
      <c r="B174" s="48"/>
      <c r="C174" s="48"/>
      <c r="D174" s="48"/>
      <c r="E174" s="992"/>
      <c r="F174" s="1003"/>
      <c r="G174" s="1003"/>
      <c r="H174" s="1003"/>
      <c r="I174" s="155"/>
      <c r="J174" s="122"/>
      <c r="K174" s="122"/>
      <c r="L174" s="122"/>
      <c r="M174" s="122"/>
      <c r="N174" s="122"/>
      <c r="O174" s="122"/>
      <c r="P174" s="122"/>
      <c r="Q174" s="122"/>
      <c r="R174" s="122"/>
      <c r="S174" s="122"/>
      <c r="T174" s="128"/>
      <c r="U174" s="128"/>
      <c r="V174" s="128"/>
      <c r="W174" s="140"/>
    </row>
    <row r="175" spans="1:23" s="93" customFormat="1" ht="17.100000000000001" customHeight="1" x14ac:dyDescent="0.2">
      <c r="A175" s="161"/>
      <c r="B175" s="48"/>
      <c r="C175" s="48"/>
      <c r="D175" s="48"/>
      <c r="E175" s="992"/>
      <c r="F175" s="1003"/>
      <c r="G175" s="1003"/>
      <c r="H175" s="1003"/>
      <c r="I175" s="155"/>
      <c r="J175" s="122"/>
      <c r="K175" s="122"/>
      <c r="L175" s="122"/>
      <c r="M175" s="122"/>
      <c r="N175" s="122"/>
      <c r="O175" s="122"/>
      <c r="P175" s="122"/>
      <c r="Q175" s="122"/>
      <c r="R175" s="122"/>
      <c r="S175" s="122"/>
      <c r="T175" s="128"/>
      <c r="U175" s="128"/>
      <c r="V175" s="128"/>
      <c r="W175" s="140"/>
    </row>
    <row r="176" spans="1:23" s="93" customFormat="1" ht="17.100000000000001" customHeight="1" x14ac:dyDescent="0.2">
      <c r="A176" s="161"/>
      <c r="B176" s="48"/>
      <c r="C176" s="48"/>
      <c r="D176" s="48"/>
      <c r="E176" s="992"/>
      <c r="F176" s="1003"/>
      <c r="G176" s="1003"/>
      <c r="H176" s="1003"/>
      <c r="I176" s="155"/>
      <c r="J176" s="122"/>
      <c r="K176" s="122"/>
      <c r="L176" s="122"/>
      <c r="M176" s="122"/>
      <c r="N176" s="122"/>
      <c r="O176" s="122"/>
      <c r="P176" s="122"/>
      <c r="Q176" s="122"/>
      <c r="R176" s="122"/>
      <c r="S176" s="122"/>
      <c r="T176" s="121"/>
      <c r="U176" s="121"/>
      <c r="V176" s="121"/>
    </row>
    <row r="177" spans="1:22" s="93" customFormat="1" ht="17.100000000000001" customHeight="1" x14ac:dyDescent="0.2">
      <c r="A177" s="161"/>
      <c r="B177" s="48"/>
      <c r="C177" s="48"/>
      <c r="D177" s="48"/>
      <c r="E177" s="992"/>
      <c r="F177" s="992"/>
      <c r="G177" s="992"/>
      <c r="H177" s="992"/>
      <c r="I177" s="155"/>
      <c r="J177" s="122"/>
      <c r="K177" s="122"/>
      <c r="L177" s="122"/>
      <c r="M177" s="122"/>
      <c r="N177" s="122"/>
      <c r="O177" s="122"/>
      <c r="P177" s="122"/>
      <c r="Q177" s="122"/>
      <c r="R177" s="122"/>
      <c r="S177" s="122"/>
      <c r="T177" s="121"/>
      <c r="U177" s="121"/>
      <c r="V177" s="121"/>
    </row>
    <row r="178" spans="1:22" s="93" customFormat="1" ht="17.100000000000001" customHeight="1" x14ac:dyDescent="0.2">
      <c r="A178" s="161"/>
      <c r="B178" s="48"/>
      <c r="C178" s="48"/>
      <c r="D178" s="48"/>
      <c r="E178" s="992"/>
      <c r="F178" s="992"/>
      <c r="G178" s="992"/>
      <c r="H178" s="992"/>
      <c r="I178" s="155"/>
      <c r="J178" s="122"/>
      <c r="K178" s="122"/>
      <c r="L178" s="122"/>
      <c r="M178" s="122"/>
      <c r="N178" s="122"/>
      <c r="O178" s="122"/>
      <c r="P178" s="122"/>
      <c r="Q178" s="122"/>
      <c r="R178" s="122"/>
      <c r="S178" s="122"/>
      <c r="T178" s="121"/>
      <c r="U178" s="121"/>
      <c r="V178" s="121"/>
    </row>
    <row r="179" spans="1:22" s="93" customFormat="1" ht="17.100000000000001" customHeight="1" x14ac:dyDescent="0.2">
      <c r="A179" s="161"/>
      <c r="B179" s="48"/>
      <c r="C179" s="48"/>
      <c r="D179" s="48"/>
      <c r="E179" s="992"/>
      <c r="F179" s="992"/>
      <c r="G179" s="178"/>
      <c r="H179" s="50"/>
      <c r="I179" s="155"/>
      <c r="J179" s="122"/>
      <c r="K179" s="122"/>
      <c r="L179" s="122"/>
      <c r="M179" s="122"/>
      <c r="N179" s="122"/>
      <c r="O179" s="122"/>
      <c r="P179" s="122"/>
      <c r="Q179" s="122"/>
      <c r="R179" s="122"/>
      <c r="S179" s="122"/>
      <c r="T179" s="121"/>
      <c r="U179" s="121"/>
      <c r="V179" s="121"/>
    </row>
    <row r="180" spans="1:22" s="93" customFormat="1" ht="17.100000000000001" customHeight="1" x14ac:dyDescent="0.2">
      <c r="A180" s="161"/>
      <c r="B180" s="48"/>
      <c r="C180" s="48"/>
      <c r="D180" s="48"/>
      <c r="E180" s="48"/>
      <c r="F180" s="48"/>
      <c r="G180" s="992"/>
      <c r="H180" s="992"/>
      <c r="I180" s="155"/>
      <c r="J180" s="122"/>
      <c r="K180" s="122"/>
      <c r="L180" s="122"/>
      <c r="M180" s="122"/>
      <c r="N180" s="122"/>
      <c r="O180" s="122"/>
      <c r="P180" s="122"/>
      <c r="Q180" s="122"/>
      <c r="R180" s="122"/>
      <c r="S180" s="122"/>
      <c r="T180" s="121"/>
      <c r="U180" s="121"/>
      <c r="V180" s="121"/>
    </row>
    <row r="181" spans="1:22" s="93" customFormat="1" ht="17.100000000000001" customHeight="1" x14ac:dyDescent="0.2">
      <c r="A181" s="161"/>
      <c r="B181" s="48"/>
      <c r="C181" s="48"/>
      <c r="D181" s="48"/>
      <c r="E181" s="992"/>
      <c r="F181" s="992"/>
      <c r="G181" s="992"/>
      <c r="H181" s="992"/>
      <c r="I181" s="155"/>
      <c r="J181" s="122"/>
      <c r="K181" s="122"/>
      <c r="L181" s="122"/>
      <c r="M181" s="122"/>
      <c r="N181" s="122"/>
      <c r="O181" s="122"/>
      <c r="P181" s="122"/>
      <c r="Q181" s="122"/>
      <c r="R181" s="122"/>
      <c r="S181" s="122"/>
      <c r="T181" s="121"/>
      <c r="U181" s="121"/>
      <c r="V181" s="121"/>
    </row>
    <row r="182" spans="1:22" s="93" customFormat="1" ht="17.100000000000001" customHeight="1" x14ac:dyDescent="0.2">
      <c r="A182" s="161"/>
      <c r="B182" s="177"/>
      <c r="C182" s="177"/>
      <c r="D182" s="48"/>
      <c r="E182" s="13"/>
      <c r="F182" s="13"/>
      <c r="G182" s="13"/>
      <c r="H182" s="13"/>
      <c r="I182" s="155"/>
      <c r="J182" s="122"/>
      <c r="K182" s="122"/>
      <c r="L182" s="122"/>
      <c r="M182" s="122"/>
      <c r="N182" s="122"/>
      <c r="O182" s="122"/>
      <c r="P182" s="122"/>
      <c r="Q182" s="122"/>
      <c r="R182" s="122"/>
      <c r="S182" s="122"/>
      <c r="T182" s="121"/>
      <c r="U182" s="121"/>
      <c r="V182" s="121"/>
    </row>
    <row r="183" spans="1:22" s="93" customFormat="1" ht="17.100000000000001" customHeight="1" x14ac:dyDescent="0.2">
      <c r="A183" s="161"/>
      <c r="B183" s="179"/>
      <c r="C183" s="179"/>
      <c r="D183" s="48"/>
      <c r="E183" s="13"/>
      <c r="F183" s="180"/>
      <c r="G183" s="180"/>
      <c r="H183" s="180"/>
      <c r="I183" s="155"/>
      <c r="J183" s="122"/>
      <c r="K183" s="122"/>
      <c r="L183" s="122"/>
      <c r="M183" s="122"/>
      <c r="N183" s="122"/>
      <c r="O183" s="122"/>
      <c r="P183" s="122"/>
      <c r="Q183" s="122"/>
      <c r="R183" s="122"/>
      <c r="S183" s="122"/>
      <c r="T183" s="121"/>
      <c r="U183" s="121"/>
      <c r="V183" s="121"/>
    </row>
    <row r="184" spans="1:22" s="93" customFormat="1" ht="12" customHeight="1" x14ac:dyDescent="0.2">
      <c r="A184" s="161"/>
      <c r="B184" s="181"/>
      <c r="C184" s="181"/>
      <c r="D184" s="48"/>
      <c r="E184" s="13"/>
      <c r="F184" s="181"/>
      <c r="G184" s="1004"/>
      <c r="H184" s="1004"/>
      <c r="I184" s="155"/>
      <c r="J184" s="122"/>
      <c r="K184" s="122"/>
      <c r="L184" s="122"/>
      <c r="M184" s="122"/>
      <c r="N184" s="122"/>
      <c r="O184" s="122"/>
      <c r="P184" s="122"/>
      <c r="Q184" s="122"/>
      <c r="R184" s="122"/>
      <c r="S184" s="122"/>
      <c r="T184" s="121"/>
      <c r="U184" s="121"/>
      <c r="V184" s="121"/>
    </row>
    <row r="185" spans="1:22" s="93" customFormat="1" ht="17.100000000000001" customHeight="1" x14ac:dyDescent="0.2">
      <c r="A185" s="161"/>
      <c r="B185" s="182"/>
      <c r="C185" s="182"/>
      <c r="D185" s="48"/>
      <c r="E185" s="48"/>
      <c r="F185" s="183"/>
      <c r="G185" s="1004"/>
      <c r="H185" s="1004"/>
      <c r="I185" s="155"/>
      <c r="J185" s="122"/>
      <c r="K185" s="122"/>
      <c r="L185" s="122"/>
      <c r="M185" s="122"/>
      <c r="N185" s="122"/>
      <c r="O185" s="122"/>
      <c r="P185" s="122"/>
      <c r="Q185" s="122"/>
      <c r="R185" s="122"/>
      <c r="S185" s="122"/>
      <c r="T185" s="121"/>
      <c r="U185" s="121"/>
      <c r="V185" s="121"/>
    </row>
    <row r="186" spans="1:22" s="93" customFormat="1" ht="13.5" customHeight="1" x14ac:dyDescent="0.2">
      <c r="A186" s="161"/>
      <c r="B186" s="184"/>
      <c r="C186" s="184"/>
      <c r="D186" s="48"/>
      <c r="E186" s="48"/>
      <c r="F186" s="184"/>
      <c r="G186" s="1004"/>
      <c r="H186" s="1004"/>
      <c r="I186" s="155"/>
      <c r="J186" s="122"/>
      <c r="K186" s="122"/>
      <c r="L186" s="122"/>
      <c r="M186" s="122"/>
      <c r="N186" s="122"/>
      <c r="O186" s="122"/>
      <c r="P186" s="122"/>
      <c r="Q186" s="122"/>
      <c r="R186" s="122"/>
      <c r="S186" s="122"/>
      <c r="T186" s="121"/>
      <c r="U186" s="121"/>
      <c r="V186" s="121"/>
    </row>
    <row r="187" spans="1:22" s="93" customFormat="1" ht="17.100000000000001" customHeight="1" x14ac:dyDescent="0.2">
      <c r="A187" s="161"/>
      <c r="B187" s="185"/>
      <c r="C187" s="185"/>
      <c r="D187" s="48"/>
      <c r="E187" s="48"/>
      <c r="F187" s="48"/>
      <c r="G187" s="1002"/>
      <c r="H187" s="1002"/>
      <c r="I187" s="155"/>
      <c r="J187" s="122"/>
      <c r="K187" s="122"/>
      <c r="L187" s="122"/>
      <c r="M187" s="122"/>
      <c r="N187" s="122"/>
      <c r="O187" s="122"/>
      <c r="P187" s="122"/>
      <c r="Q187" s="122"/>
      <c r="R187" s="122"/>
      <c r="S187" s="122"/>
      <c r="T187" s="121"/>
      <c r="U187" s="121"/>
      <c r="V187" s="121"/>
    </row>
    <row r="188" spans="1:22" s="93" customFormat="1" ht="17.100000000000001" customHeight="1" x14ac:dyDescent="0.2">
      <c r="A188" s="161"/>
      <c r="B188" s="1001"/>
      <c r="C188" s="1001"/>
      <c r="D188" s="1003"/>
      <c r="E188" s="1003"/>
      <c r="F188" s="1003"/>
      <c r="G188" s="16"/>
      <c r="H188" s="46"/>
      <c r="I188" s="155"/>
      <c r="J188" s="122"/>
      <c r="K188" s="122"/>
      <c r="L188" s="122"/>
      <c r="M188" s="122"/>
      <c r="N188" s="122"/>
      <c r="O188" s="122"/>
      <c r="P188" s="122"/>
      <c r="Q188" s="122"/>
      <c r="R188" s="122"/>
      <c r="S188" s="122"/>
      <c r="T188" s="121"/>
      <c r="U188" s="121"/>
      <c r="V188" s="121"/>
    </row>
    <row r="189" spans="1:22" s="93" customFormat="1" ht="17.100000000000001" customHeight="1" x14ac:dyDescent="0.2">
      <c r="A189" s="161"/>
      <c r="B189" s="71"/>
      <c r="C189" s="71"/>
      <c r="D189" s="72"/>
      <c r="E189" s="72"/>
      <c r="F189" s="72"/>
      <c r="G189" s="16"/>
      <c r="H189" s="13"/>
      <c r="I189" s="155"/>
      <c r="J189" s="122"/>
      <c r="K189" s="122"/>
      <c r="L189" s="122"/>
      <c r="M189" s="122"/>
      <c r="N189" s="122"/>
      <c r="O189" s="122"/>
      <c r="P189" s="122"/>
      <c r="Q189" s="122"/>
      <c r="R189" s="122"/>
      <c r="S189" s="122"/>
      <c r="T189" s="121"/>
      <c r="U189" s="121"/>
      <c r="V189" s="121"/>
    </row>
    <row r="190" spans="1:22" s="93" customFormat="1" ht="17.100000000000001" customHeight="1" x14ac:dyDescent="0.2">
      <c r="A190" s="161"/>
      <c r="B190" s="47"/>
      <c r="C190" s="47"/>
      <c r="D190" s="48"/>
      <c r="E190" s="48"/>
      <c r="F190" s="48"/>
      <c r="G190" s="48"/>
      <c r="H190" s="48"/>
      <c r="I190" s="155"/>
      <c r="J190" s="122"/>
      <c r="K190" s="122"/>
      <c r="L190" s="122"/>
      <c r="M190" s="122"/>
      <c r="N190" s="122"/>
      <c r="O190" s="122"/>
      <c r="P190" s="122"/>
      <c r="Q190" s="122"/>
      <c r="R190" s="122"/>
      <c r="S190" s="122"/>
      <c r="T190" s="121"/>
      <c r="U190" s="121"/>
      <c r="V190" s="121"/>
    </row>
    <row r="191" spans="1:22" s="93" customFormat="1" ht="27.75" customHeight="1" x14ac:dyDescent="0.2">
      <c r="A191" s="161"/>
      <c r="B191" s="999"/>
      <c r="C191" s="999"/>
      <c r="D191" s="997"/>
      <c r="E191" s="997"/>
      <c r="F191" s="997"/>
      <c r="G191" s="16"/>
      <c r="H191" s="49"/>
      <c r="I191" s="155"/>
      <c r="J191" s="122"/>
      <c r="K191" s="122"/>
      <c r="L191" s="122"/>
      <c r="M191" s="122"/>
      <c r="N191" s="122"/>
      <c r="O191" s="122"/>
      <c r="P191" s="122"/>
      <c r="Q191" s="122"/>
      <c r="R191" s="122"/>
      <c r="S191" s="122"/>
      <c r="T191" s="121"/>
      <c r="U191" s="121"/>
      <c r="V191" s="121"/>
    </row>
    <row r="192" spans="1:22" s="93" customFormat="1" ht="17.100000000000001" customHeight="1" x14ac:dyDescent="0.2">
      <c r="A192" s="161"/>
      <c r="B192" s="47"/>
      <c r="C192" s="47"/>
      <c r="D192" s="48"/>
      <c r="E192" s="48"/>
      <c r="F192" s="48"/>
      <c r="G192" s="12"/>
      <c r="H192" s="48"/>
      <c r="I192" s="155"/>
      <c r="J192" s="122"/>
      <c r="K192" s="122"/>
      <c r="L192" s="122"/>
      <c r="M192" s="122"/>
      <c r="N192" s="122"/>
      <c r="O192" s="122"/>
      <c r="P192" s="122"/>
      <c r="Q192" s="122"/>
      <c r="R192" s="122"/>
      <c r="S192" s="122"/>
      <c r="T192" s="121"/>
      <c r="U192" s="121"/>
      <c r="V192" s="121"/>
    </row>
    <row r="193" spans="1:22" s="93" customFormat="1" ht="28.5" customHeight="1" x14ac:dyDescent="0.2">
      <c r="A193" s="161"/>
      <c r="B193" s="999"/>
      <c r="C193" s="999"/>
      <c r="D193" s="999"/>
      <c r="E193" s="999"/>
      <c r="F193" s="999"/>
      <c r="G193" s="16"/>
      <c r="H193" s="49"/>
      <c r="I193" s="155"/>
      <c r="J193" s="122"/>
      <c r="K193" s="122"/>
      <c r="L193" s="122"/>
      <c r="M193" s="122"/>
      <c r="N193" s="122"/>
      <c r="O193" s="122"/>
      <c r="P193" s="122"/>
      <c r="Q193" s="122"/>
      <c r="R193" s="122"/>
      <c r="S193" s="122"/>
      <c r="T193" s="121"/>
      <c r="U193" s="121"/>
      <c r="V193" s="121"/>
    </row>
    <row r="194" spans="1:22" s="93" customFormat="1" ht="17.100000000000001" customHeight="1" x14ac:dyDescent="0.2">
      <c r="A194" s="161"/>
      <c r="B194" s="1001"/>
      <c r="C194" s="1001"/>
      <c r="D194" s="1003"/>
      <c r="E194" s="1003"/>
      <c r="F194" s="1003"/>
      <c r="G194" s="16"/>
      <c r="H194" s="49"/>
      <c r="I194" s="155"/>
      <c r="J194" s="122"/>
      <c r="K194" s="122"/>
      <c r="L194" s="122"/>
      <c r="M194" s="122"/>
      <c r="N194" s="122"/>
      <c r="O194" s="122"/>
      <c r="P194" s="122"/>
      <c r="Q194" s="122"/>
      <c r="R194" s="122"/>
      <c r="S194" s="122"/>
      <c r="T194" s="121"/>
      <c r="U194" s="121"/>
      <c r="V194" s="121"/>
    </row>
    <row r="195" spans="1:22" s="93" customFormat="1" ht="41.25" customHeight="1" x14ac:dyDescent="0.2">
      <c r="A195" s="161"/>
      <c r="B195" s="997"/>
      <c r="C195" s="997"/>
      <c r="D195" s="998"/>
      <c r="E195" s="998"/>
      <c r="F195" s="998"/>
      <c r="G195" s="48"/>
      <c r="H195" s="48"/>
      <c r="I195" s="155"/>
      <c r="J195" s="122"/>
      <c r="K195" s="122"/>
      <c r="L195" s="122"/>
      <c r="M195" s="122"/>
      <c r="N195" s="122"/>
      <c r="O195" s="122"/>
      <c r="P195" s="122"/>
      <c r="Q195" s="122"/>
      <c r="R195" s="122"/>
      <c r="S195" s="122"/>
      <c r="T195" s="121"/>
      <c r="U195" s="121"/>
      <c r="V195" s="121"/>
    </row>
    <row r="196" spans="1:22" s="93" customFormat="1" ht="24" customHeight="1" x14ac:dyDescent="0.2">
      <c r="A196" s="161"/>
      <c r="B196" s="997"/>
      <c r="C196" s="997"/>
      <c r="D196" s="998"/>
      <c r="E196" s="998"/>
      <c r="F196" s="998"/>
      <c r="G196" s="48"/>
      <c r="H196" s="48"/>
      <c r="I196" s="155"/>
      <c r="J196" s="122"/>
      <c r="K196" s="122"/>
      <c r="L196" s="122"/>
      <c r="M196" s="122"/>
      <c r="N196" s="122"/>
      <c r="O196" s="122"/>
      <c r="P196" s="122"/>
      <c r="Q196" s="122"/>
      <c r="R196" s="122"/>
      <c r="S196" s="122"/>
      <c r="T196" s="121"/>
      <c r="U196" s="121"/>
      <c r="V196" s="121"/>
    </row>
    <row r="197" spans="1:22" s="93" customFormat="1" ht="40.5" customHeight="1" x14ac:dyDescent="0.2">
      <c r="A197" s="161"/>
      <c r="B197" s="999"/>
      <c r="C197" s="999"/>
      <c r="D197" s="1000"/>
      <c r="E197" s="1000"/>
      <c r="F197" s="1000"/>
      <c r="G197" s="16"/>
      <c r="H197" s="49"/>
      <c r="I197" s="155"/>
      <c r="J197" s="122"/>
      <c r="K197" s="122"/>
      <c r="L197" s="122"/>
      <c r="M197" s="122"/>
      <c r="N197" s="122"/>
      <c r="O197" s="122"/>
      <c r="P197" s="122"/>
      <c r="Q197" s="122"/>
      <c r="R197" s="122"/>
      <c r="S197" s="122"/>
      <c r="T197" s="121"/>
      <c r="U197" s="121"/>
      <c r="V197" s="121"/>
    </row>
    <row r="198" spans="1:22" s="93" customFormat="1" ht="14.25" customHeight="1" x14ac:dyDescent="0.2">
      <c r="A198" s="161"/>
      <c r="B198" s="47"/>
      <c r="C198" s="47"/>
      <c r="D198" s="48"/>
      <c r="E198" s="48"/>
      <c r="F198" s="48"/>
      <c r="G198" s="48"/>
      <c r="H198" s="48"/>
      <c r="I198" s="155"/>
      <c r="J198" s="122"/>
      <c r="K198" s="122"/>
      <c r="L198" s="122"/>
      <c r="M198" s="122"/>
      <c r="N198" s="122"/>
      <c r="O198" s="122"/>
      <c r="P198" s="122"/>
      <c r="Q198" s="122"/>
      <c r="R198" s="122"/>
      <c r="S198" s="122"/>
      <c r="T198" s="121"/>
      <c r="U198" s="121"/>
      <c r="V198" s="121"/>
    </row>
    <row r="199" spans="1:22" s="93" customFormat="1" ht="28.5" customHeight="1" x14ac:dyDescent="0.2">
      <c r="A199" s="161"/>
      <c r="B199" s="999"/>
      <c r="C199" s="999"/>
      <c r="D199" s="999"/>
      <c r="E199" s="999"/>
      <c r="F199" s="999"/>
      <c r="G199" s="16"/>
      <c r="H199" s="49"/>
      <c r="I199" s="155"/>
      <c r="J199" s="122"/>
      <c r="K199" s="122"/>
      <c r="L199" s="122"/>
      <c r="M199" s="122"/>
      <c r="N199" s="122"/>
      <c r="O199" s="122"/>
      <c r="P199" s="122"/>
      <c r="Q199" s="122"/>
      <c r="R199" s="122"/>
      <c r="S199" s="122"/>
      <c r="T199" s="121"/>
      <c r="U199" s="121"/>
      <c r="V199" s="121"/>
    </row>
    <row r="200" spans="1:22" s="93" customFormat="1" ht="37.5" customHeight="1" x14ac:dyDescent="0.2">
      <c r="A200" s="161"/>
      <c r="B200" s="997"/>
      <c r="C200" s="997"/>
      <c r="D200" s="998"/>
      <c r="E200" s="998"/>
      <c r="F200" s="998"/>
      <c r="G200" s="48"/>
      <c r="H200" s="48"/>
      <c r="I200" s="155"/>
      <c r="J200" s="122"/>
      <c r="K200" s="122"/>
      <c r="L200" s="122"/>
      <c r="M200" s="122"/>
      <c r="N200" s="122"/>
      <c r="O200" s="122"/>
      <c r="P200" s="122"/>
      <c r="Q200" s="122"/>
      <c r="R200" s="122"/>
      <c r="S200" s="122"/>
      <c r="T200" s="121"/>
      <c r="U200" s="121"/>
      <c r="V200" s="121"/>
    </row>
    <row r="201" spans="1:22" s="93" customFormat="1" ht="13.5" customHeight="1" x14ac:dyDescent="0.2">
      <c r="A201" s="156"/>
      <c r="B201" s="1001"/>
      <c r="C201" s="1001"/>
      <c r="D201" s="1001"/>
      <c r="E201" s="1001"/>
      <c r="F201" s="1001"/>
      <c r="G201" s="16"/>
      <c r="H201" s="49"/>
      <c r="I201" s="155"/>
      <c r="J201" s="122"/>
      <c r="K201" s="122"/>
      <c r="L201" s="122"/>
      <c r="M201" s="122"/>
      <c r="N201" s="122"/>
      <c r="O201" s="122"/>
      <c r="P201" s="122"/>
      <c r="Q201" s="122"/>
      <c r="R201" s="122"/>
      <c r="S201" s="122"/>
      <c r="T201" s="121"/>
      <c r="U201" s="121"/>
      <c r="V201" s="121"/>
    </row>
    <row r="202" spans="1:22" s="93" customFormat="1" ht="15" customHeight="1" x14ac:dyDescent="0.2">
      <c r="A202" s="156"/>
      <c r="B202" s="47"/>
      <c r="C202" s="47"/>
      <c r="D202" s="48"/>
      <c r="E202" s="48"/>
      <c r="F202" s="48"/>
      <c r="G202" s="16"/>
      <c r="H202" s="49"/>
      <c r="I202" s="155"/>
      <c r="J202" s="122"/>
      <c r="K202" s="122"/>
      <c r="L202" s="122"/>
      <c r="M202" s="122"/>
      <c r="N202" s="122"/>
      <c r="O202" s="122"/>
      <c r="P202" s="122"/>
      <c r="Q202" s="122"/>
      <c r="R202" s="122"/>
      <c r="S202" s="122"/>
      <c r="T202" s="121"/>
      <c r="U202" s="121"/>
      <c r="V202" s="121"/>
    </row>
    <row r="203" spans="1:22" s="93" customFormat="1" ht="17.100000000000001" customHeight="1" x14ac:dyDescent="0.25">
      <c r="A203" s="186"/>
      <c r="B203" s="187"/>
      <c r="C203" s="187"/>
      <c r="D203" s="48"/>
      <c r="E203" s="48"/>
      <c r="F203" s="48"/>
      <c r="G203" s="48"/>
      <c r="H203" s="48"/>
      <c r="I203" s="155"/>
      <c r="J203" s="122"/>
      <c r="K203" s="122"/>
      <c r="L203" s="122"/>
      <c r="M203" s="122"/>
      <c r="N203" s="122"/>
      <c r="O203" s="122"/>
      <c r="P203" s="122"/>
      <c r="Q203" s="122"/>
      <c r="R203" s="122"/>
      <c r="S203" s="122"/>
      <c r="T203" s="121"/>
      <c r="U203" s="121"/>
      <c r="V203" s="121"/>
    </row>
    <row r="204" spans="1:22" s="93" customFormat="1" ht="17.100000000000001" customHeight="1" x14ac:dyDescent="0.2">
      <c r="A204" s="156"/>
      <c r="B204" s="48"/>
      <c r="C204" s="48"/>
      <c r="D204" s="48"/>
      <c r="E204" s="48"/>
      <c r="F204" s="48"/>
      <c r="G204" s="48"/>
      <c r="H204" s="48"/>
      <c r="I204" s="155"/>
      <c r="J204" s="122"/>
      <c r="K204" s="122"/>
      <c r="L204" s="122"/>
      <c r="M204" s="122"/>
      <c r="N204" s="122"/>
      <c r="O204" s="122"/>
      <c r="P204" s="122"/>
      <c r="Q204" s="122"/>
      <c r="R204" s="122"/>
      <c r="S204" s="122"/>
      <c r="T204" s="121"/>
      <c r="U204" s="121"/>
      <c r="V204" s="121"/>
    </row>
    <row r="205" spans="1:22" s="93" customFormat="1" ht="17.100000000000001" customHeight="1" x14ac:dyDescent="0.2">
      <c r="A205" s="156"/>
      <c r="B205" s="48"/>
      <c r="C205" s="48"/>
      <c r="D205" s="48"/>
      <c r="E205" s="48"/>
      <c r="F205" s="48"/>
      <c r="G205" s="12"/>
      <c r="H205" s="50"/>
      <c r="I205" s="155"/>
      <c r="J205" s="122"/>
      <c r="K205" s="122"/>
      <c r="L205" s="122"/>
      <c r="M205" s="122"/>
      <c r="N205" s="122"/>
      <c r="O205" s="122"/>
      <c r="P205" s="122"/>
      <c r="Q205" s="122"/>
      <c r="R205" s="122"/>
      <c r="S205" s="122"/>
      <c r="T205" s="121"/>
      <c r="U205" s="121"/>
      <c r="V205" s="121"/>
    </row>
    <row r="206" spans="1:22" s="93" customFormat="1" ht="17.100000000000001" customHeight="1" x14ac:dyDescent="0.2">
      <c r="A206" s="156"/>
      <c r="B206" s="48"/>
      <c r="C206" s="48"/>
      <c r="D206" s="188"/>
      <c r="E206" s="48"/>
      <c r="F206" s="48"/>
      <c r="G206" s="12"/>
      <c r="H206" s="50"/>
      <c r="I206" s="155"/>
      <c r="J206" s="122"/>
      <c r="K206" s="122"/>
      <c r="L206" s="122"/>
      <c r="M206" s="122"/>
      <c r="N206" s="122"/>
      <c r="O206" s="122"/>
      <c r="P206" s="122"/>
      <c r="Q206" s="122"/>
      <c r="R206" s="122"/>
      <c r="S206" s="122"/>
      <c r="T206" s="121"/>
      <c r="U206" s="121"/>
      <c r="V206" s="121"/>
    </row>
    <row r="207" spans="1:22" s="93" customFormat="1" ht="17.100000000000001" customHeight="1" x14ac:dyDescent="0.2">
      <c r="A207" s="156"/>
      <c r="B207" s="48"/>
      <c r="C207" s="48"/>
      <c r="D207" s="48"/>
      <c r="E207" s="48"/>
      <c r="F207" s="48"/>
      <c r="G207" s="12"/>
      <c r="H207" s="50"/>
      <c r="I207" s="155"/>
      <c r="J207" s="122"/>
      <c r="K207" s="122"/>
      <c r="L207" s="122"/>
      <c r="M207" s="122"/>
      <c r="N207" s="122"/>
      <c r="O207" s="122"/>
      <c r="P207" s="122"/>
      <c r="Q207" s="122"/>
      <c r="R207" s="122"/>
      <c r="S207" s="122"/>
      <c r="T207" s="121"/>
      <c r="U207" s="121"/>
      <c r="V207" s="121"/>
    </row>
    <row r="208" spans="1:22" s="93" customFormat="1" ht="17.100000000000001" customHeight="1" x14ac:dyDescent="0.2">
      <c r="A208" s="156"/>
      <c r="B208" s="48"/>
      <c r="C208" s="48"/>
      <c r="D208" s="48"/>
      <c r="E208" s="12"/>
      <c r="F208" s="48"/>
      <c r="G208" s="12"/>
      <c r="H208" s="50"/>
      <c r="I208" s="155"/>
      <c r="J208" s="122"/>
      <c r="K208" s="122"/>
      <c r="L208" s="122"/>
      <c r="M208" s="122"/>
      <c r="N208" s="122"/>
      <c r="O208" s="122"/>
      <c r="P208" s="122"/>
      <c r="Q208" s="122"/>
      <c r="R208" s="122"/>
      <c r="S208" s="122"/>
      <c r="T208" s="121"/>
      <c r="U208" s="121"/>
      <c r="V208" s="121"/>
    </row>
    <row r="209" spans="1:22" s="93" customFormat="1" ht="17.100000000000001" customHeight="1" x14ac:dyDescent="0.2">
      <c r="A209" s="156"/>
      <c r="B209" s="48"/>
      <c r="C209" s="48"/>
      <c r="D209" s="48"/>
      <c r="E209" s="48"/>
      <c r="F209" s="992"/>
      <c r="G209" s="992"/>
      <c r="H209" s="992"/>
      <c r="I209" s="155"/>
      <c r="J209" s="122"/>
      <c r="K209" s="122"/>
      <c r="L209" s="122"/>
      <c r="M209" s="122"/>
      <c r="N209" s="122"/>
      <c r="O209" s="122"/>
      <c r="P209" s="122"/>
      <c r="Q209" s="122"/>
      <c r="R209" s="122"/>
      <c r="S209" s="122"/>
      <c r="T209" s="121"/>
      <c r="U209" s="121"/>
      <c r="V209" s="121"/>
    </row>
    <row r="210" spans="1:22" s="93" customFormat="1" ht="17.100000000000001" customHeight="1" x14ac:dyDescent="0.2">
      <c r="A210" s="156"/>
      <c r="B210" s="992"/>
      <c r="C210" s="992"/>
      <c r="D210" s="992"/>
      <c r="E210" s="992"/>
      <c r="F210" s="992"/>
      <c r="G210" s="992"/>
      <c r="H210" s="992"/>
      <c r="I210" s="155"/>
      <c r="J210" s="122"/>
      <c r="K210" s="122"/>
      <c r="L210" s="122"/>
      <c r="M210" s="122"/>
      <c r="N210" s="122"/>
      <c r="O210" s="122"/>
      <c r="P210" s="122"/>
      <c r="Q210" s="122"/>
      <c r="R210" s="122"/>
      <c r="S210" s="122"/>
      <c r="T210" s="121"/>
      <c r="U210" s="121"/>
      <c r="V210" s="121"/>
    </row>
    <row r="211" spans="1:22" s="93" customFormat="1" ht="17.100000000000001" customHeight="1" x14ac:dyDescent="0.2">
      <c r="A211" s="156"/>
      <c r="B211" s="48"/>
      <c r="C211" s="48"/>
      <c r="D211" s="48"/>
      <c r="E211" s="48"/>
      <c r="F211" s="48"/>
      <c r="G211" s="48"/>
      <c r="H211" s="48"/>
      <c r="I211" s="155"/>
      <c r="J211" s="122"/>
      <c r="K211" s="122"/>
      <c r="L211" s="122"/>
      <c r="M211" s="122"/>
      <c r="N211" s="122"/>
      <c r="O211" s="122"/>
      <c r="P211" s="122"/>
      <c r="Q211" s="122"/>
      <c r="R211" s="122"/>
      <c r="S211" s="122"/>
      <c r="T211" s="121"/>
      <c r="U211" s="121"/>
      <c r="V211" s="121"/>
    </row>
    <row r="212" spans="1:22" s="93" customFormat="1" ht="17.100000000000001" customHeight="1" x14ac:dyDescent="0.2">
      <c r="A212" s="156"/>
      <c r="B212" s="992"/>
      <c r="C212" s="992"/>
      <c r="D212" s="992"/>
      <c r="E212" s="992"/>
      <c r="F212" s="992"/>
      <c r="G212" s="992"/>
      <c r="H212" s="992"/>
      <c r="I212" s="155"/>
      <c r="J212" s="122"/>
      <c r="K212" s="122"/>
      <c r="L212" s="122"/>
      <c r="M212" s="122"/>
      <c r="N212" s="122"/>
      <c r="O212" s="122"/>
      <c r="P212" s="122"/>
      <c r="Q212" s="122"/>
      <c r="R212" s="122"/>
      <c r="S212" s="122"/>
      <c r="T212" s="121"/>
      <c r="U212" s="121"/>
      <c r="V212" s="121"/>
    </row>
    <row r="213" spans="1:22" s="93" customFormat="1" ht="17.100000000000001" customHeight="1" x14ac:dyDescent="0.2">
      <c r="A213" s="156"/>
      <c r="B213" s="48"/>
      <c r="C213" s="48"/>
      <c r="D213" s="48"/>
      <c r="E213" s="48"/>
      <c r="F213" s="48"/>
      <c r="G213" s="48"/>
      <c r="H213" s="48"/>
      <c r="I213" s="155"/>
      <c r="J213" s="122"/>
      <c r="K213" s="122"/>
      <c r="L213" s="122"/>
      <c r="M213" s="122"/>
      <c r="N213" s="122"/>
      <c r="O213" s="122"/>
      <c r="P213" s="122"/>
      <c r="Q213" s="122"/>
      <c r="R213" s="122"/>
      <c r="S213" s="122"/>
      <c r="T213" s="121"/>
      <c r="U213" s="121"/>
      <c r="V213" s="121"/>
    </row>
    <row r="214" spans="1:22" s="93" customFormat="1" ht="17.100000000000001" customHeight="1" x14ac:dyDescent="0.2">
      <c r="A214" s="156"/>
      <c r="B214" s="992"/>
      <c r="C214" s="992"/>
      <c r="D214" s="992"/>
      <c r="E214" s="992"/>
      <c r="F214" s="992"/>
      <c r="G214" s="992"/>
      <c r="H214" s="992"/>
      <c r="I214" s="155"/>
      <c r="J214" s="122"/>
      <c r="K214" s="122"/>
      <c r="L214" s="122"/>
      <c r="M214" s="122"/>
      <c r="N214" s="122"/>
      <c r="O214" s="122"/>
      <c r="P214" s="122"/>
      <c r="Q214" s="122"/>
      <c r="R214" s="122"/>
      <c r="S214" s="122"/>
      <c r="T214" s="121"/>
      <c r="U214" s="121"/>
      <c r="V214" s="121"/>
    </row>
    <row r="215" spans="1:22" s="93" customFormat="1" ht="17.100000000000001" customHeight="1" x14ac:dyDescent="0.25">
      <c r="A215" s="186"/>
      <c r="B215" s="187"/>
      <c r="C215" s="187"/>
      <c r="D215" s="48"/>
      <c r="E215" s="48"/>
      <c r="F215" s="48"/>
      <c r="G215" s="48"/>
      <c r="H215" s="48"/>
      <c r="I215" s="155"/>
      <c r="J215" s="122"/>
      <c r="K215" s="122"/>
      <c r="L215" s="122"/>
      <c r="M215" s="122"/>
      <c r="N215" s="122"/>
      <c r="O215" s="122"/>
      <c r="P215" s="122"/>
      <c r="Q215" s="122"/>
      <c r="R215" s="122"/>
      <c r="S215" s="122"/>
      <c r="T215" s="121"/>
      <c r="U215" s="121"/>
      <c r="V215" s="121"/>
    </row>
    <row r="216" spans="1:22" s="93" customFormat="1" ht="17.100000000000001" customHeight="1" x14ac:dyDescent="0.2">
      <c r="A216" s="156"/>
      <c r="B216" s="48"/>
      <c r="C216" s="48"/>
      <c r="D216" s="48"/>
      <c r="E216" s="48"/>
      <c r="F216" s="48"/>
      <c r="G216" s="48"/>
      <c r="H216" s="48"/>
      <c r="I216" s="155"/>
      <c r="J216" s="122"/>
      <c r="K216" s="122"/>
      <c r="L216" s="122"/>
      <c r="M216" s="122"/>
      <c r="N216" s="122"/>
      <c r="O216" s="122"/>
      <c r="P216" s="122"/>
      <c r="Q216" s="122"/>
      <c r="R216" s="122"/>
      <c r="S216" s="122"/>
      <c r="T216" s="121"/>
      <c r="U216" s="121"/>
      <c r="V216" s="121"/>
    </row>
    <row r="217" spans="1:22" s="93" customFormat="1" ht="17.100000000000001" customHeight="1" x14ac:dyDescent="0.2">
      <c r="A217" s="156"/>
      <c r="B217" s="48"/>
      <c r="C217" s="48"/>
      <c r="D217" s="48"/>
      <c r="E217" s="12"/>
      <c r="F217" s="48"/>
      <c r="G217" s="48"/>
      <c r="H217" s="12"/>
      <c r="I217" s="155"/>
      <c r="J217" s="122"/>
      <c r="K217" s="122"/>
      <c r="L217" s="122"/>
      <c r="M217" s="122"/>
      <c r="N217" s="122"/>
      <c r="O217" s="122"/>
      <c r="P217" s="122"/>
      <c r="Q217" s="122"/>
      <c r="R217" s="122"/>
      <c r="S217" s="122"/>
      <c r="T217" s="121"/>
      <c r="U217" s="121"/>
      <c r="V217" s="121"/>
    </row>
    <row r="218" spans="1:22" s="93" customFormat="1" ht="17.100000000000001" customHeight="1" x14ac:dyDescent="0.3">
      <c r="A218" s="156"/>
      <c r="B218" s="189"/>
      <c r="C218" s="189"/>
      <c r="D218" s="48"/>
      <c r="E218" s="50"/>
      <c r="F218" s="48"/>
      <c r="G218" s="48"/>
      <c r="H218" s="50"/>
      <c r="I218" s="155"/>
      <c r="J218" s="122"/>
      <c r="K218" s="122"/>
      <c r="L218" s="122"/>
      <c r="M218" s="122"/>
      <c r="N218" s="122"/>
      <c r="O218" s="122"/>
      <c r="P218" s="122"/>
      <c r="Q218" s="122"/>
      <c r="R218" s="122"/>
      <c r="S218" s="122"/>
      <c r="T218" s="121"/>
      <c r="U218" s="121"/>
      <c r="V218" s="121"/>
    </row>
    <row r="219" spans="1:22" s="93" customFormat="1" ht="17.100000000000001" customHeight="1" x14ac:dyDescent="0.2">
      <c r="A219" s="156"/>
      <c r="B219" s="190"/>
      <c r="C219" s="190"/>
      <c r="D219" s="48"/>
      <c r="E219" s="12"/>
      <c r="F219" s="48"/>
      <c r="G219" s="48"/>
      <c r="H219" s="12"/>
      <c r="I219" s="155"/>
      <c r="J219" s="122"/>
      <c r="K219" s="122"/>
      <c r="L219" s="122"/>
      <c r="M219" s="122"/>
      <c r="N219" s="122"/>
      <c r="O219" s="122"/>
      <c r="P219" s="122"/>
      <c r="Q219" s="122"/>
      <c r="R219" s="122"/>
      <c r="S219" s="122"/>
      <c r="T219" s="121"/>
      <c r="U219" s="121"/>
      <c r="V219" s="121"/>
    </row>
    <row r="220" spans="1:22" s="93" customFormat="1" ht="17.100000000000001" customHeight="1" x14ac:dyDescent="0.2">
      <c r="A220" s="161"/>
      <c r="B220" s="191"/>
      <c r="C220" s="191"/>
      <c r="D220" s="48"/>
      <c r="E220" s="50"/>
      <c r="F220" s="191"/>
      <c r="G220" s="48"/>
      <c r="H220" s="50"/>
      <c r="I220" s="155"/>
      <c r="J220" s="122"/>
      <c r="K220" s="122"/>
      <c r="L220" s="122"/>
      <c r="M220" s="122"/>
      <c r="N220" s="122"/>
      <c r="O220" s="122"/>
      <c r="P220" s="122"/>
      <c r="Q220" s="122"/>
      <c r="R220" s="122"/>
      <c r="S220" s="122"/>
      <c r="T220" s="121"/>
      <c r="U220" s="121"/>
      <c r="V220" s="121"/>
    </row>
    <row r="221" spans="1:22" s="93" customFormat="1" ht="17.100000000000001" customHeight="1" x14ac:dyDescent="0.2">
      <c r="A221" s="161"/>
      <c r="B221" s="191"/>
      <c r="C221" s="191"/>
      <c r="D221" s="48"/>
      <c r="E221" s="50"/>
      <c r="F221" s="191"/>
      <c r="G221" s="48"/>
      <c r="H221" s="50"/>
      <c r="I221" s="155"/>
      <c r="J221" s="122"/>
      <c r="K221" s="122"/>
      <c r="L221" s="122"/>
      <c r="M221" s="122"/>
      <c r="N221" s="122"/>
      <c r="O221" s="122"/>
      <c r="P221" s="122"/>
      <c r="Q221" s="122"/>
      <c r="R221" s="122"/>
      <c r="S221" s="122"/>
      <c r="T221" s="121"/>
      <c r="U221" s="121"/>
      <c r="V221" s="121"/>
    </row>
    <row r="222" spans="1:22" s="93" customFormat="1" ht="17.100000000000001" customHeight="1" x14ac:dyDescent="0.2">
      <c r="A222" s="161"/>
      <c r="B222" s="191"/>
      <c r="C222" s="191"/>
      <c r="D222" s="48"/>
      <c r="E222" s="50"/>
      <c r="F222" s="191"/>
      <c r="G222" s="48"/>
      <c r="H222" s="50"/>
      <c r="I222" s="155"/>
      <c r="J222" s="122"/>
      <c r="K222" s="122"/>
      <c r="L222" s="122"/>
      <c r="M222" s="122"/>
      <c r="N222" s="122"/>
      <c r="O222" s="122"/>
      <c r="P222" s="122"/>
      <c r="Q222" s="122"/>
      <c r="R222" s="122"/>
      <c r="S222" s="122"/>
      <c r="T222" s="121"/>
      <c r="U222" s="121"/>
      <c r="V222" s="121"/>
    </row>
    <row r="223" spans="1:22" s="93" customFormat="1" ht="17.100000000000001" customHeight="1" x14ac:dyDescent="0.2">
      <c r="A223" s="156"/>
      <c r="B223" s="191"/>
      <c r="C223" s="191"/>
      <c r="D223" s="48"/>
      <c r="E223" s="50"/>
      <c r="F223" s="191"/>
      <c r="G223" s="48"/>
      <c r="H223" s="50"/>
      <c r="I223" s="155"/>
      <c r="J223" s="122"/>
      <c r="K223" s="122"/>
      <c r="L223" s="122"/>
      <c r="M223" s="122"/>
      <c r="N223" s="122"/>
      <c r="O223" s="122"/>
      <c r="P223" s="122"/>
      <c r="Q223" s="122"/>
      <c r="R223" s="122"/>
      <c r="S223" s="122"/>
      <c r="T223" s="121"/>
      <c r="U223" s="121"/>
      <c r="V223" s="121"/>
    </row>
    <row r="224" spans="1:22" s="93" customFormat="1" ht="17.100000000000001" customHeight="1" x14ac:dyDescent="0.2">
      <c r="A224" s="156"/>
      <c r="B224" s="191"/>
      <c r="C224" s="191"/>
      <c r="D224" s="48"/>
      <c r="E224" s="50"/>
      <c r="F224" s="191"/>
      <c r="G224" s="48"/>
      <c r="H224" s="50"/>
      <c r="I224" s="155"/>
      <c r="J224" s="122"/>
      <c r="K224" s="122"/>
      <c r="L224" s="122"/>
      <c r="M224" s="122"/>
      <c r="N224" s="122"/>
      <c r="O224" s="122"/>
      <c r="P224" s="122"/>
      <c r="Q224" s="122"/>
      <c r="R224" s="122"/>
      <c r="S224" s="122"/>
      <c r="T224" s="121"/>
      <c r="U224" s="121"/>
      <c r="V224" s="121"/>
    </row>
    <row r="225" spans="1:22" s="93" customFormat="1" ht="17.100000000000001" customHeight="1" x14ac:dyDescent="0.25">
      <c r="A225" s="156"/>
      <c r="B225" s="192"/>
      <c r="C225" s="192"/>
      <c r="D225" s="48"/>
      <c r="E225" s="50"/>
      <c r="F225" s="191"/>
      <c r="G225" s="48"/>
      <c r="H225" s="50"/>
      <c r="I225" s="155"/>
      <c r="J225" s="122"/>
      <c r="K225" s="122"/>
      <c r="L225" s="122"/>
      <c r="M225" s="122"/>
      <c r="N225" s="122"/>
      <c r="O225" s="122"/>
      <c r="P225" s="122"/>
      <c r="Q225" s="122"/>
      <c r="R225" s="122"/>
      <c r="S225" s="122"/>
      <c r="T225" s="121"/>
      <c r="U225" s="121"/>
      <c r="V225" s="121"/>
    </row>
    <row r="226" spans="1:22" s="93" customFormat="1" ht="17.100000000000001" customHeight="1" x14ac:dyDescent="0.25">
      <c r="A226" s="186"/>
      <c r="B226" s="994"/>
      <c r="C226" s="994"/>
      <c r="D226" s="994"/>
      <c r="E226" s="994"/>
      <c r="F226" s="994"/>
      <c r="G226" s="994"/>
      <c r="H226" s="994"/>
      <c r="I226" s="155"/>
      <c r="J226" s="122"/>
      <c r="K226" s="122"/>
      <c r="L226" s="122"/>
      <c r="M226" s="122"/>
      <c r="N226" s="122"/>
      <c r="O226" s="122"/>
      <c r="P226" s="122"/>
      <c r="Q226" s="122"/>
      <c r="R226" s="122"/>
      <c r="S226" s="122"/>
      <c r="T226" s="121"/>
      <c r="U226" s="121"/>
      <c r="V226" s="121"/>
    </row>
    <row r="227" spans="1:22" s="93" customFormat="1" ht="17.100000000000001" customHeight="1" x14ac:dyDescent="0.2">
      <c r="A227" s="156"/>
      <c r="B227" s="48"/>
      <c r="C227" s="48"/>
      <c r="D227" s="48"/>
      <c r="E227" s="48"/>
      <c r="F227" s="48"/>
      <c r="G227" s="48"/>
      <c r="H227" s="48"/>
      <c r="I227" s="155"/>
      <c r="J227" s="122"/>
      <c r="K227" s="122"/>
      <c r="L227" s="122"/>
      <c r="M227" s="122"/>
      <c r="N227" s="122"/>
      <c r="O227" s="122"/>
      <c r="P227" s="122"/>
      <c r="Q227" s="122"/>
      <c r="R227" s="122"/>
      <c r="S227" s="122"/>
      <c r="T227" s="121"/>
      <c r="U227" s="121"/>
      <c r="V227" s="121"/>
    </row>
    <row r="228" spans="1:22" s="93" customFormat="1" ht="17.100000000000001" customHeight="1" x14ac:dyDescent="0.2">
      <c r="A228" s="156"/>
      <c r="B228" s="48"/>
      <c r="C228" s="48"/>
      <c r="D228" s="48"/>
      <c r="E228" s="48"/>
      <c r="F228" s="48"/>
      <c r="G228" s="48"/>
      <c r="H228" s="48"/>
      <c r="I228" s="155"/>
      <c r="J228" s="122"/>
      <c r="K228" s="122"/>
      <c r="L228" s="122"/>
      <c r="M228" s="122"/>
      <c r="N228" s="122"/>
      <c r="O228" s="122"/>
      <c r="P228" s="122"/>
      <c r="Q228" s="122"/>
      <c r="R228" s="122"/>
      <c r="S228" s="122"/>
      <c r="T228" s="121"/>
      <c r="U228" s="121"/>
      <c r="V228" s="121"/>
    </row>
    <row r="229" spans="1:22" s="93" customFormat="1" ht="17.100000000000001" customHeight="1" x14ac:dyDescent="0.2">
      <c r="A229" s="156"/>
      <c r="B229" s="48"/>
      <c r="C229" s="48"/>
      <c r="D229" s="48"/>
      <c r="E229" s="48"/>
      <c r="F229" s="996"/>
      <c r="G229" s="996"/>
      <c r="H229" s="996"/>
      <c r="I229" s="155"/>
      <c r="J229" s="122"/>
      <c r="K229" s="122"/>
      <c r="L229" s="122"/>
      <c r="M229" s="122"/>
      <c r="N229" s="122"/>
      <c r="O229" s="122"/>
      <c r="P229" s="122"/>
      <c r="Q229" s="122"/>
      <c r="R229" s="122"/>
      <c r="S229" s="122"/>
      <c r="T229" s="121"/>
      <c r="U229" s="121"/>
      <c r="V229" s="121"/>
    </row>
    <row r="230" spans="1:22" s="93" customFormat="1" ht="17.100000000000001" customHeight="1" x14ac:dyDescent="0.2">
      <c r="A230" s="156"/>
      <c r="B230" s="188"/>
      <c r="C230" s="188"/>
      <c r="D230" s="48"/>
      <c r="E230" s="48"/>
      <c r="F230" s="992"/>
      <c r="G230" s="992"/>
      <c r="H230" s="992"/>
      <c r="I230" s="155"/>
      <c r="J230" s="122"/>
      <c r="K230" s="122"/>
      <c r="L230" s="122"/>
      <c r="M230" s="122"/>
      <c r="N230" s="122"/>
      <c r="O230" s="122"/>
      <c r="P230" s="122"/>
      <c r="Q230" s="122"/>
      <c r="R230" s="122"/>
      <c r="S230" s="122"/>
      <c r="T230" s="121"/>
      <c r="U230" s="121"/>
      <c r="V230" s="121"/>
    </row>
    <row r="231" spans="1:22" s="93" customFormat="1" ht="17.100000000000001" customHeight="1" x14ac:dyDescent="0.2">
      <c r="A231" s="156"/>
      <c r="B231" s="48"/>
      <c r="C231" s="48"/>
      <c r="D231" s="48"/>
      <c r="E231" s="48"/>
      <c r="F231" s="992"/>
      <c r="G231" s="992"/>
      <c r="H231" s="992"/>
      <c r="I231" s="155"/>
      <c r="J231" s="122"/>
      <c r="K231" s="122"/>
      <c r="L231" s="122"/>
      <c r="M231" s="122"/>
      <c r="N231" s="122"/>
      <c r="O231" s="122"/>
      <c r="P231" s="122"/>
      <c r="Q231" s="122"/>
      <c r="R231" s="122"/>
      <c r="S231" s="122"/>
      <c r="T231" s="121"/>
      <c r="U231" s="121"/>
      <c r="V231" s="121"/>
    </row>
    <row r="232" spans="1:22" s="93" customFormat="1" ht="17.100000000000001" customHeight="1" x14ac:dyDescent="0.2">
      <c r="A232" s="156"/>
      <c r="B232" s="48"/>
      <c r="C232" s="48"/>
      <c r="D232" s="48"/>
      <c r="E232" s="48"/>
      <c r="F232" s="48"/>
      <c r="G232" s="48"/>
      <c r="H232" s="48"/>
      <c r="I232" s="155"/>
      <c r="J232" s="122"/>
      <c r="K232" s="122"/>
      <c r="L232" s="122"/>
      <c r="M232" s="122"/>
      <c r="N232" s="122"/>
      <c r="O232" s="122"/>
      <c r="P232" s="122"/>
      <c r="Q232" s="122"/>
      <c r="R232" s="122"/>
      <c r="S232" s="122"/>
      <c r="T232" s="121"/>
      <c r="U232" s="121"/>
      <c r="V232" s="121"/>
    </row>
    <row r="233" spans="1:22" s="93" customFormat="1" ht="17.100000000000001" customHeight="1" x14ac:dyDescent="0.2">
      <c r="A233" s="156"/>
      <c r="B233" s="48"/>
      <c r="C233" s="48"/>
      <c r="D233" s="48"/>
      <c r="E233" s="48"/>
      <c r="F233" s="48"/>
      <c r="G233" s="48"/>
      <c r="H233" s="48"/>
      <c r="I233" s="155"/>
      <c r="J233" s="122"/>
      <c r="K233" s="122"/>
      <c r="L233" s="122"/>
      <c r="M233" s="122"/>
      <c r="N233" s="122"/>
      <c r="O233" s="122"/>
      <c r="P233" s="122"/>
      <c r="Q233" s="122"/>
      <c r="R233" s="122"/>
      <c r="S233" s="122"/>
      <c r="T233" s="121"/>
      <c r="U233" s="121"/>
      <c r="V233" s="121"/>
    </row>
    <row r="234" spans="1:22" s="93" customFormat="1" ht="17.100000000000001" customHeight="1" x14ac:dyDescent="0.25">
      <c r="A234" s="186"/>
      <c r="B234" s="995"/>
      <c r="C234" s="995"/>
      <c r="D234" s="995"/>
      <c r="E234" s="995"/>
      <c r="F234" s="995"/>
      <c r="G234" s="995"/>
      <c r="H234" s="995"/>
      <c r="I234" s="155"/>
      <c r="J234" s="122"/>
      <c r="K234" s="122"/>
      <c r="L234" s="122"/>
      <c r="M234" s="122"/>
      <c r="N234" s="122"/>
      <c r="O234" s="122"/>
      <c r="P234" s="122"/>
      <c r="Q234" s="122"/>
      <c r="R234" s="122"/>
      <c r="S234" s="122"/>
      <c r="T234" s="121"/>
      <c r="U234" s="121"/>
      <c r="V234" s="121"/>
    </row>
    <row r="235" spans="1:22" s="93" customFormat="1" ht="17.100000000000001" customHeight="1" x14ac:dyDescent="0.2">
      <c r="A235" s="156"/>
      <c r="B235" s="48"/>
      <c r="C235" s="48"/>
      <c r="D235" s="48"/>
      <c r="E235" s="48"/>
      <c r="F235" s="48"/>
      <c r="G235" s="48"/>
      <c r="H235" s="48"/>
      <c r="I235" s="155"/>
      <c r="J235" s="122"/>
      <c r="K235" s="122"/>
      <c r="L235" s="122"/>
      <c r="M235" s="122"/>
      <c r="N235" s="122"/>
      <c r="O235" s="122"/>
      <c r="P235" s="122"/>
      <c r="Q235" s="122"/>
      <c r="R235" s="122"/>
      <c r="S235" s="122"/>
      <c r="T235" s="121"/>
      <c r="U235" s="121"/>
      <c r="V235" s="121"/>
    </row>
    <row r="236" spans="1:22" s="93" customFormat="1" ht="17.100000000000001" customHeight="1" x14ac:dyDescent="0.2">
      <c r="A236" s="156"/>
      <c r="B236" s="48"/>
      <c r="C236" s="48"/>
      <c r="D236" s="48"/>
      <c r="E236" s="48"/>
      <c r="F236" s="992"/>
      <c r="G236" s="992"/>
      <c r="H236" s="992"/>
      <c r="I236" s="155"/>
      <c r="J236" s="122"/>
      <c r="K236" s="122"/>
      <c r="L236" s="122"/>
      <c r="M236" s="122"/>
      <c r="N236" s="122"/>
      <c r="O236" s="122"/>
      <c r="P236" s="122"/>
      <c r="Q236" s="122"/>
      <c r="R236" s="122"/>
      <c r="S236" s="122"/>
      <c r="T236" s="121"/>
      <c r="U236" s="121"/>
      <c r="V236" s="121"/>
    </row>
    <row r="237" spans="1:22" s="93" customFormat="1" ht="17.100000000000001" customHeight="1" x14ac:dyDescent="0.2">
      <c r="A237" s="156"/>
      <c r="B237" s="992"/>
      <c r="C237" s="992"/>
      <c r="D237" s="992"/>
      <c r="E237" s="193"/>
      <c r="F237" s="992"/>
      <c r="G237" s="992"/>
      <c r="H237" s="992"/>
      <c r="I237" s="155"/>
      <c r="J237" s="122"/>
      <c r="K237" s="122"/>
      <c r="L237" s="122"/>
      <c r="M237" s="122"/>
      <c r="N237" s="122"/>
      <c r="O237" s="122"/>
      <c r="P237" s="122"/>
      <c r="Q237" s="122"/>
      <c r="R237" s="122"/>
      <c r="S237" s="122"/>
      <c r="T237" s="121"/>
      <c r="U237" s="121"/>
      <c r="V237" s="121"/>
    </row>
    <row r="238" spans="1:22" s="93" customFormat="1" ht="17.100000000000001" customHeight="1" x14ac:dyDescent="0.2">
      <c r="A238" s="156"/>
      <c r="B238" s="993"/>
      <c r="C238" s="993"/>
      <c r="D238" s="993"/>
      <c r="E238" s="194"/>
      <c r="F238" s="993"/>
      <c r="G238" s="993"/>
      <c r="H238" s="993"/>
      <c r="I238" s="155"/>
      <c r="J238" s="122"/>
      <c r="K238" s="122"/>
      <c r="L238" s="122"/>
      <c r="M238" s="122"/>
      <c r="N238" s="122"/>
      <c r="O238" s="122"/>
      <c r="P238" s="122"/>
      <c r="Q238" s="122"/>
      <c r="R238" s="122"/>
      <c r="S238" s="122"/>
      <c r="T238" s="121"/>
      <c r="U238" s="121"/>
      <c r="V238" s="121"/>
    </row>
    <row r="239" spans="1:22" s="93" customFormat="1" ht="17.100000000000001" customHeight="1" x14ac:dyDescent="0.2">
      <c r="A239" s="156"/>
      <c r="B239" s="48"/>
      <c r="C239" s="48"/>
      <c r="D239" s="48"/>
      <c r="E239" s="48"/>
      <c r="F239" s="48"/>
      <c r="G239" s="48"/>
      <c r="H239" s="48"/>
      <c r="I239" s="155"/>
      <c r="J239" s="122"/>
      <c r="K239" s="122"/>
      <c r="L239" s="122"/>
      <c r="M239" s="122"/>
      <c r="N239" s="122"/>
      <c r="O239" s="122"/>
      <c r="P239" s="122"/>
      <c r="Q239" s="122"/>
      <c r="R239" s="122"/>
      <c r="S239" s="122"/>
      <c r="T239" s="121"/>
      <c r="U239" s="121"/>
      <c r="V239" s="121"/>
    </row>
    <row r="240" spans="1:22" s="93" customFormat="1" ht="17.100000000000001" customHeight="1" x14ac:dyDescent="0.2">
      <c r="A240" s="156"/>
      <c r="B240" s="48"/>
      <c r="C240" s="48"/>
      <c r="D240" s="48"/>
      <c r="E240" s="48"/>
      <c r="F240" s="992"/>
      <c r="G240" s="992"/>
      <c r="H240" s="992"/>
      <c r="I240" s="155"/>
      <c r="J240" s="122"/>
      <c r="K240" s="122"/>
      <c r="L240" s="122"/>
      <c r="M240" s="122"/>
      <c r="N240" s="122"/>
      <c r="O240" s="122"/>
      <c r="P240" s="122"/>
      <c r="Q240" s="122"/>
      <c r="R240" s="122"/>
      <c r="S240" s="122"/>
      <c r="T240" s="121"/>
      <c r="U240" s="121"/>
      <c r="V240" s="121"/>
    </row>
    <row r="241" spans="1:22" s="93" customFormat="1" ht="17.100000000000001" customHeight="1" x14ac:dyDescent="0.2">
      <c r="A241" s="156"/>
      <c r="B241" s="992"/>
      <c r="C241" s="992"/>
      <c r="D241" s="992"/>
      <c r="E241" s="193"/>
      <c r="F241" s="992"/>
      <c r="G241" s="992"/>
      <c r="H241" s="992"/>
      <c r="I241" s="155"/>
      <c r="J241" s="122"/>
      <c r="K241" s="122"/>
      <c r="L241" s="122"/>
      <c r="M241" s="122"/>
      <c r="N241" s="122"/>
      <c r="O241" s="122"/>
      <c r="P241" s="122"/>
      <c r="Q241" s="122"/>
      <c r="R241" s="122"/>
      <c r="S241" s="122"/>
      <c r="T241" s="121"/>
      <c r="U241" s="121"/>
      <c r="V241" s="121"/>
    </row>
    <row r="242" spans="1:22" s="93" customFormat="1" ht="17.100000000000001" customHeight="1" x14ac:dyDescent="0.2">
      <c r="A242" s="156"/>
      <c r="B242" s="993"/>
      <c r="C242" s="993"/>
      <c r="D242" s="993"/>
      <c r="E242" s="194"/>
      <c r="F242" s="993"/>
      <c r="G242" s="993"/>
      <c r="H242" s="993"/>
      <c r="I242" s="155"/>
      <c r="J242" s="122"/>
      <c r="K242" s="122"/>
      <c r="L242" s="122"/>
      <c r="M242" s="122"/>
      <c r="N242" s="122"/>
      <c r="O242" s="122"/>
      <c r="P242" s="122"/>
      <c r="Q242" s="122"/>
      <c r="R242" s="122"/>
      <c r="S242" s="122"/>
      <c r="T242" s="121"/>
      <c r="U242" s="121"/>
      <c r="V242" s="121"/>
    </row>
    <row r="243" spans="1:22" s="93" customFormat="1" ht="17.100000000000001" customHeight="1" x14ac:dyDescent="0.25">
      <c r="A243" s="186"/>
      <c r="B243" s="994"/>
      <c r="C243" s="994"/>
      <c r="D243" s="994"/>
      <c r="E243" s="994"/>
      <c r="F243" s="994"/>
      <c r="G243" s="994"/>
      <c r="H243" s="994"/>
      <c r="I243" s="155"/>
      <c r="J243" s="122"/>
      <c r="K243" s="122"/>
      <c r="L243" s="122"/>
      <c r="M243" s="122"/>
      <c r="N243" s="122"/>
      <c r="O243" s="122"/>
      <c r="P243" s="122"/>
      <c r="Q243" s="122"/>
      <c r="R243" s="122"/>
      <c r="S243" s="122"/>
      <c r="T243" s="121"/>
      <c r="U243" s="121"/>
      <c r="V243" s="121"/>
    </row>
    <row r="244" spans="1:22" s="93" customFormat="1" ht="17.100000000000001" customHeight="1" x14ac:dyDescent="0.2">
      <c r="A244" s="156"/>
      <c r="B244" s="992"/>
      <c r="C244" s="992"/>
      <c r="D244" s="992"/>
      <c r="E244" s="992"/>
      <c r="F244" s="992"/>
      <c r="G244" s="992"/>
      <c r="H244" s="992"/>
      <c r="I244" s="155"/>
      <c r="J244" s="122"/>
      <c r="K244" s="122"/>
      <c r="L244" s="122"/>
      <c r="M244" s="122"/>
      <c r="N244" s="122"/>
      <c r="O244" s="122"/>
      <c r="P244" s="122"/>
      <c r="Q244" s="122"/>
      <c r="R244" s="122"/>
      <c r="S244" s="122"/>
      <c r="T244" s="121"/>
      <c r="U244" s="121"/>
      <c r="V244" s="121"/>
    </row>
    <row r="245" spans="1:22" s="93" customFormat="1" ht="17.100000000000001" customHeight="1" x14ac:dyDescent="0.2">
      <c r="A245" s="156"/>
      <c r="B245" s="992"/>
      <c r="C245" s="992"/>
      <c r="D245" s="992"/>
      <c r="E245" s="992"/>
      <c r="F245" s="992"/>
      <c r="G245" s="992"/>
      <c r="H245" s="992"/>
      <c r="I245" s="155"/>
      <c r="J245" s="122"/>
      <c r="K245" s="122"/>
      <c r="L245" s="122"/>
      <c r="M245" s="122"/>
      <c r="N245" s="122"/>
      <c r="O245" s="122"/>
      <c r="P245" s="122"/>
      <c r="Q245" s="122"/>
      <c r="R245" s="122"/>
      <c r="S245" s="122"/>
      <c r="T245" s="121"/>
      <c r="U245" s="121"/>
      <c r="V245" s="121"/>
    </row>
    <row r="246" spans="1:22" s="93" customFormat="1" ht="17.100000000000001" customHeight="1" x14ac:dyDescent="0.2">
      <c r="A246" s="156"/>
      <c r="B246" s="992"/>
      <c r="C246" s="992"/>
      <c r="D246" s="992"/>
      <c r="E246" s="992"/>
      <c r="F246" s="992"/>
      <c r="G246" s="992"/>
      <c r="H246" s="992"/>
      <c r="I246" s="155"/>
      <c r="J246" s="122"/>
      <c r="K246" s="122"/>
      <c r="L246" s="122"/>
      <c r="M246" s="122"/>
      <c r="N246" s="122"/>
      <c r="O246" s="122"/>
      <c r="P246" s="122"/>
      <c r="Q246" s="122"/>
      <c r="R246" s="122"/>
      <c r="S246" s="122"/>
      <c r="T246" s="121"/>
      <c r="U246" s="121"/>
      <c r="V246" s="121"/>
    </row>
    <row r="247" spans="1:22" s="93" customFormat="1" ht="17.100000000000001" customHeight="1" x14ac:dyDescent="0.2">
      <c r="A247" s="156"/>
      <c r="B247" s="992"/>
      <c r="C247" s="992"/>
      <c r="D247" s="992"/>
      <c r="E247" s="992"/>
      <c r="F247" s="992"/>
      <c r="G247" s="992"/>
      <c r="H247" s="992"/>
      <c r="I247" s="155"/>
      <c r="J247" s="122"/>
      <c r="K247" s="122"/>
      <c r="L247" s="122"/>
      <c r="M247" s="122"/>
      <c r="N247" s="122"/>
      <c r="O247" s="122"/>
      <c r="P247" s="122"/>
      <c r="Q247" s="122"/>
      <c r="R247" s="122"/>
      <c r="S247" s="122"/>
      <c r="T247" s="121"/>
      <c r="U247" s="121"/>
      <c r="V247" s="121"/>
    </row>
    <row r="248" spans="1:22" s="93" customFormat="1" ht="17.100000000000001" customHeight="1" x14ac:dyDescent="0.2">
      <c r="A248" s="188"/>
      <c r="B248" s="188"/>
      <c r="C248" s="188"/>
      <c r="D248" s="188"/>
      <c r="E248" s="188"/>
      <c r="F248" s="188"/>
      <c r="G248" s="188"/>
      <c r="H248" s="188"/>
      <c r="I248" s="155"/>
      <c r="J248" s="122"/>
      <c r="K248" s="122"/>
      <c r="L248" s="122"/>
      <c r="M248" s="122"/>
      <c r="N248" s="122"/>
      <c r="O248" s="122"/>
      <c r="P248" s="122"/>
      <c r="Q248" s="122"/>
      <c r="R248" s="122"/>
      <c r="S248" s="122"/>
      <c r="T248" s="121"/>
      <c r="U248" s="121"/>
      <c r="V248" s="121"/>
    </row>
    <row r="249" spans="1:22" s="93" customFormat="1" ht="17.100000000000001" customHeight="1" x14ac:dyDescent="0.2">
      <c r="A249" s="188"/>
      <c r="B249" s="188"/>
      <c r="C249" s="188"/>
      <c r="D249" s="188"/>
      <c r="E249" s="188"/>
      <c r="F249" s="188"/>
      <c r="G249" s="188"/>
      <c r="H249" s="188"/>
      <c r="I249" s="155"/>
      <c r="J249" s="122"/>
      <c r="K249" s="122"/>
      <c r="L249" s="122"/>
      <c r="M249" s="122"/>
      <c r="N249" s="122"/>
      <c r="O249" s="122"/>
      <c r="P249" s="122"/>
      <c r="Q249" s="122"/>
      <c r="R249" s="122"/>
      <c r="S249" s="122"/>
      <c r="T249" s="121"/>
      <c r="U249" s="121"/>
      <c r="V249" s="121"/>
    </row>
    <row r="250" spans="1:22" s="93" customFormat="1" ht="17.100000000000001" customHeight="1" x14ac:dyDescent="0.2">
      <c r="B250" s="188"/>
      <c r="C250" s="188"/>
      <c r="D250" s="188"/>
      <c r="E250" s="188"/>
      <c r="F250" s="188"/>
      <c r="G250" s="188"/>
      <c r="H250" s="188"/>
      <c r="I250" s="155"/>
      <c r="J250" s="122"/>
      <c r="K250" s="122"/>
      <c r="L250" s="122"/>
      <c r="M250" s="122"/>
      <c r="N250" s="122"/>
      <c r="O250" s="122"/>
      <c r="P250" s="122"/>
      <c r="Q250" s="122"/>
      <c r="R250" s="122"/>
      <c r="S250" s="122"/>
      <c r="T250" s="121"/>
      <c r="U250" s="121"/>
      <c r="V250" s="121"/>
    </row>
    <row r="251" spans="1:22" s="93" customFormat="1" ht="17.100000000000001" customHeight="1" x14ac:dyDescent="0.2">
      <c r="B251" s="188"/>
      <c r="C251" s="188"/>
      <c r="D251" s="188"/>
      <c r="E251" s="188"/>
      <c r="F251" s="188"/>
      <c r="G251" s="188"/>
      <c r="H251" s="188"/>
      <c r="I251" s="155"/>
      <c r="J251" s="122"/>
      <c r="K251" s="122"/>
      <c r="L251" s="122"/>
      <c r="M251" s="122"/>
      <c r="N251" s="122"/>
      <c r="O251" s="122"/>
      <c r="P251" s="122"/>
      <c r="Q251" s="122"/>
      <c r="R251" s="122"/>
      <c r="S251" s="122"/>
      <c r="T251" s="121"/>
      <c r="U251" s="121"/>
      <c r="V251" s="121"/>
    </row>
    <row r="252" spans="1:22" s="93" customFormat="1" ht="17.100000000000001" customHeight="1" x14ac:dyDescent="0.2">
      <c r="B252" s="188"/>
      <c r="C252" s="188"/>
      <c r="D252" s="188"/>
      <c r="E252" s="188"/>
      <c r="F252" s="188"/>
      <c r="G252" s="188"/>
      <c r="H252" s="188"/>
      <c r="I252" s="155"/>
      <c r="J252" s="122"/>
      <c r="K252" s="122"/>
      <c r="L252" s="122"/>
      <c r="M252" s="122"/>
      <c r="N252" s="122"/>
      <c r="O252" s="122"/>
      <c r="P252" s="122"/>
      <c r="Q252" s="122"/>
      <c r="R252" s="122"/>
      <c r="S252" s="122"/>
      <c r="T252" s="121"/>
      <c r="U252" s="121"/>
      <c r="V252" s="121"/>
    </row>
    <row r="253" spans="1:22" s="93" customFormat="1" ht="17.100000000000001" customHeight="1" x14ac:dyDescent="0.2">
      <c r="B253" s="188"/>
      <c r="C253" s="188"/>
      <c r="D253" s="188"/>
      <c r="E253" s="188"/>
      <c r="F253" s="188"/>
      <c r="G253" s="188"/>
      <c r="H253" s="188"/>
      <c r="I253" s="155"/>
      <c r="J253" s="122"/>
      <c r="K253" s="122"/>
      <c r="L253" s="122"/>
      <c r="M253" s="122"/>
      <c r="N253" s="122"/>
      <c r="O253" s="122"/>
      <c r="P253" s="122"/>
      <c r="Q253" s="122"/>
      <c r="R253" s="122"/>
      <c r="S253" s="122"/>
      <c r="T253" s="121"/>
      <c r="U253" s="121"/>
      <c r="V253" s="121"/>
    </row>
    <row r="254" spans="1:22" s="93" customFormat="1" ht="17.100000000000001" customHeight="1" x14ac:dyDescent="0.2">
      <c r="B254" s="188"/>
      <c r="C254" s="188"/>
      <c r="D254" s="188"/>
      <c r="E254" s="188"/>
      <c r="F254" s="188"/>
      <c r="G254" s="188"/>
      <c r="H254" s="188"/>
      <c r="I254" s="155"/>
      <c r="J254" s="122"/>
      <c r="K254" s="122"/>
      <c r="L254" s="122"/>
      <c r="M254" s="122"/>
      <c r="N254" s="122"/>
      <c r="O254" s="122"/>
      <c r="P254" s="122"/>
      <c r="Q254" s="122"/>
      <c r="R254" s="122"/>
      <c r="S254" s="122"/>
      <c r="T254" s="121"/>
      <c r="U254" s="121"/>
      <c r="V254" s="121"/>
    </row>
    <row r="255" spans="1:22" s="93" customFormat="1" ht="17.100000000000001" customHeight="1" x14ac:dyDescent="0.2">
      <c r="B255" s="188"/>
      <c r="C255" s="188"/>
      <c r="D255" s="188"/>
      <c r="E255" s="188"/>
      <c r="F255" s="188"/>
      <c r="G255" s="188"/>
      <c r="H255" s="188"/>
      <c r="I255" s="155"/>
      <c r="J255" s="122"/>
      <c r="K255" s="122"/>
      <c r="L255" s="122"/>
      <c r="M255" s="122"/>
      <c r="N255" s="122"/>
      <c r="O255" s="122"/>
      <c r="P255" s="122"/>
      <c r="Q255" s="122"/>
      <c r="R255" s="122"/>
      <c r="S255" s="122"/>
      <c r="T255" s="121"/>
      <c r="U255" s="121"/>
      <c r="V255" s="121"/>
    </row>
    <row r="256" spans="1:22" s="93" customFormat="1" ht="17.100000000000001" customHeight="1" x14ac:dyDescent="0.2">
      <c r="B256" s="188"/>
      <c r="C256" s="188"/>
      <c r="D256" s="188"/>
      <c r="E256" s="188"/>
      <c r="F256" s="188"/>
      <c r="G256" s="188"/>
      <c r="H256" s="188"/>
      <c r="I256" s="155"/>
      <c r="J256" s="122"/>
      <c r="K256" s="122"/>
      <c r="L256" s="122"/>
      <c r="M256" s="122"/>
      <c r="N256" s="122"/>
      <c r="O256" s="122"/>
      <c r="P256" s="122"/>
      <c r="Q256" s="122"/>
      <c r="R256" s="122"/>
      <c r="S256" s="122"/>
      <c r="T256" s="121"/>
      <c r="U256" s="121"/>
      <c r="V256" s="121"/>
    </row>
    <row r="257" spans="2:22" s="93" customFormat="1" ht="17.100000000000001" customHeight="1" x14ac:dyDescent="0.2">
      <c r="B257" s="188"/>
      <c r="C257" s="188"/>
      <c r="D257" s="188"/>
      <c r="E257" s="188"/>
      <c r="F257" s="188"/>
      <c r="G257" s="188"/>
      <c r="H257" s="188"/>
      <c r="I257" s="155"/>
      <c r="J257" s="122"/>
      <c r="K257" s="122"/>
      <c r="L257" s="122"/>
      <c r="M257" s="122"/>
      <c r="N257" s="122"/>
      <c r="O257" s="122"/>
      <c r="P257" s="122"/>
      <c r="Q257" s="122"/>
      <c r="R257" s="122"/>
      <c r="S257" s="122"/>
      <c r="T257" s="121"/>
      <c r="U257" s="121"/>
      <c r="V257" s="121"/>
    </row>
    <row r="258" spans="2:22" s="93" customFormat="1" ht="17.100000000000001" customHeight="1" x14ac:dyDescent="0.2">
      <c r="B258" s="188"/>
      <c r="C258" s="188"/>
      <c r="D258" s="188"/>
      <c r="E258" s="188"/>
      <c r="F258" s="188"/>
      <c r="G258" s="188"/>
      <c r="H258" s="188"/>
      <c r="I258" s="155"/>
      <c r="J258" s="122"/>
      <c r="K258" s="122"/>
      <c r="L258" s="122"/>
      <c r="M258" s="122"/>
      <c r="N258" s="122"/>
      <c r="O258" s="122"/>
      <c r="P258" s="122"/>
      <c r="Q258" s="122"/>
      <c r="R258" s="122"/>
      <c r="S258" s="122"/>
      <c r="T258" s="121"/>
      <c r="U258" s="121"/>
      <c r="V258" s="121"/>
    </row>
    <row r="259" spans="2:22" s="93" customFormat="1" ht="17.100000000000001" customHeight="1" x14ac:dyDescent="0.2">
      <c r="B259" s="188"/>
      <c r="C259" s="188"/>
      <c r="D259" s="188"/>
      <c r="E259" s="188"/>
      <c r="F259" s="188"/>
      <c r="G259" s="188"/>
      <c r="H259" s="188"/>
      <c r="I259" s="155"/>
      <c r="J259" s="122"/>
      <c r="K259" s="122"/>
      <c r="L259" s="122"/>
      <c r="M259" s="122"/>
      <c r="N259" s="122"/>
      <c r="O259" s="122"/>
      <c r="P259" s="122"/>
      <c r="Q259" s="122"/>
      <c r="R259" s="122"/>
      <c r="S259" s="122"/>
      <c r="T259" s="121"/>
      <c r="U259" s="121"/>
      <c r="V259" s="121"/>
    </row>
    <row r="260" spans="2:22" s="93" customFormat="1" ht="17.100000000000001" customHeight="1" x14ac:dyDescent="0.2">
      <c r="B260" s="188"/>
      <c r="C260" s="188"/>
      <c r="D260" s="188"/>
      <c r="E260" s="188"/>
      <c r="F260" s="188"/>
      <c r="G260" s="188"/>
      <c r="H260" s="188"/>
      <c r="I260" s="155"/>
      <c r="J260" s="122"/>
      <c r="K260" s="122"/>
      <c r="L260" s="122"/>
      <c r="M260" s="122"/>
      <c r="N260" s="122"/>
      <c r="O260" s="122"/>
      <c r="P260" s="122"/>
      <c r="Q260" s="122"/>
      <c r="R260" s="122"/>
      <c r="S260" s="122"/>
      <c r="T260" s="121"/>
      <c r="U260" s="121"/>
      <c r="V260" s="121"/>
    </row>
    <row r="261" spans="2:22" s="93" customFormat="1" ht="17.100000000000001" customHeight="1" x14ac:dyDescent="0.2">
      <c r="B261" s="188"/>
      <c r="C261" s="188"/>
      <c r="D261" s="188"/>
      <c r="E261" s="188"/>
      <c r="F261" s="188"/>
      <c r="G261" s="188"/>
      <c r="H261" s="188"/>
      <c r="I261" s="155"/>
      <c r="J261" s="122"/>
      <c r="K261" s="122"/>
      <c r="L261" s="122"/>
      <c r="M261" s="122"/>
      <c r="N261" s="122"/>
      <c r="O261" s="122"/>
      <c r="P261" s="122"/>
      <c r="Q261" s="122"/>
      <c r="R261" s="122"/>
      <c r="S261" s="122"/>
      <c r="T261" s="121"/>
      <c r="U261" s="121"/>
      <c r="V261" s="121"/>
    </row>
    <row r="262" spans="2:22" s="93" customFormat="1" ht="17.100000000000001" customHeight="1" x14ac:dyDescent="0.2">
      <c r="B262" s="188"/>
      <c r="C262" s="188"/>
      <c r="D262" s="188"/>
      <c r="E262" s="188"/>
      <c r="F262" s="188"/>
      <c r="G262" s="188"/>
      <c r="H262" s="188"/>
      <c r="I262" s="155"/>
      <c r="J262" s="122"/>
      <c r="K262" s="122"/>
      <c r="L262" s="122"/>
      <c r="M262" s="122"/>
      <c r="N262" s="122"/>
      <c r="O262" s="122"/>
      <c r="P262" s="122"/>
      <c r="Q262" s="122"/>
      <c r="R262" s="122"/>
      <c r="S262" s="122"/>
      <c r="T262" s="121"/>
      <c r="U262" s="121"/>
      <c r="V262" s="121"/>
    </row>
    <row r="263" spans="2:22" s="93" customFormat="1" ht="17.100000000000001" customHeight="1" x14ac:dyDescent="0.2">
      <c r="B263" s="188"/>
      <c r="C263" s="188"/>
      <c r="D263" s="188"/>
      <c r="E263" s="188"/>
      <c r="F263" s="188"/>
      <c r="G263" s="188"/>
      <c r="H263" s="188"/>
      <c r="I263" s="155"/>
      <c r="J263" s="122"/>
      <c r="K263" s="122"/>
      <c r="L263" s="122"/>
      <c r="M263" s="122"/>
      <c r="N263" s="122"/>
      <c r="O263" s="122"/>
      <c r="P263" s="122"/>
      <c r="Q263" s="122"/>
      <c r="R263" s="122"/>
      <c r="S263" s="122"/>
      <c r="T263" s="121"/>
      <c r="U263" s="121"/>
      <c r="V263" s="121"/>
    </row>
    <row r="264" spans="2:22" s="93" customFormat="1" ht="17.100000000000001" customHeight="1" x14ac:dyDescent="0.2">
      <c r="B264" s="188"/>
      <c r="C264" s="188"/>
      <c r="D264" s="188"/>
      <c r="E264" s="188"/>
      <c r="F264" s="188"/>
      <c r="G264" s="188"/>
      <c r="H264" s="188"/>
      <c r="I264" s="155"/>
      <c r="J264" s="122"/>
      <c r="K264" s="122"/>
      <c r="L264" s="122"/>
      <c r="M264" s="122"/>
      <c r="N264" s="122"/>
      <c r="O264" s="122"/>
      <c r="P264" s="122"/>
      <c r="Q264" s="122"/>
      <c r="R264" s="122"/>
      <c r="S264" s="122"/>
      <c r="T264" s="121"/>
      <c r="U264" s="121"/>
      <c r="V264" s="121"/>
    </row>
    <row r="265" spans="2:22" s="93" customFormat="1" ht="17.100000000000001" customHeight="1" x14ac:dyDescent="0.2">
      <c r="B265" s="188"/>
      <c r="C265" s="188"/>
      <c r="D265" s="188"/>
      <c r="E265" s="188"/>
      <c r="F265" s="188"/>
      <c r="G265" s="188"/>
      <c r="H265" s="188"/>
      <c r="I265" s="155"/>
      <c r="J265" s="122"/>
      <c r="K265" s="122"/>
      <c r="L265" s="122"/>
      <c r="M265" s="122"/>
      <c r="N265" s="122"/>
      <c r="O265" s="122"/>
      <c r="P265" s="122"/>
      <c r="Q265" s="122"/>
      <c r="R265" s="122"/>
      <c r="S265" s="122"/>
      <c r="T265" s="121"/>
      <c r="U265" s="121"/>
      <c r="V265" s="121"/>
    </row>
    <row r="266" spans="2:22" s="93" customFormat="1" ht="17.100000000000001" customHeight="1" x14ac:dyDescent="0.2">
      <c r="B266" s="188"/>
      <c r="C266" s="188"/>
      <c r="D266" s="188"/>
      <c r="E266" s="188"/>
      <c r="F266" s="188"/>
      <c r="G266" s="188"/>
      <c r="H266" s="188"/>
      <c r="I266" s="155"/>
      <c r="J266" s="122"/>
      <c r="K266" s="122"/>
      <c r="L266" s="122"/>
      <c r="M266" s="122"/>
      <c r="N266" s="122"/>
      <c r="O266" s="122"/>
      <c r="P266" s="122"/>
      <c r="Q266" s="122"/>
      <c r="R266" s="122"/>
      <c r="S266" s="122"/>
      <c r="T266" s="121"/>
      <c r="U266" s="121"/>
      <c r="V266" s="121"/>
    </row>
    <row r="267" spans="2:22" s="93" customFormat="1" ht="17.100000000000001" customHeight="1" x14ac:dyDescent="0.2">
      <c r="B267" s="188"/>
      <c r="C267" s="188"/>
      <c r="D267" s="188"/>
      <c r="E267" s="188"/>
      <c r="F267" s="188"/>
      <c r="G267" s="188"/>
      <c r="H267" s="188"/>
      <c r="I267" s="155"/>
      <c r="J267" s="122"/>
      <c r="K267" s="122"/>
      <c r="L267" s="122"/>
      <c r="M267" s="122"/>
      <c r="N267" s="122"/>
      <c r="O267" s="122"/>
      <c r="P267" s="122"/>
      <c r="Q267" s="122"/>
      <c r="R267" s="122"/>
      <c r="S267" s="122"/>
      <c r="T267" s="121"/>
      <c r="U267" s="121"/>
      <c r="V267" s="121"/>
    </row>
    <row r="268" spans="2:22" s="93" customFormat="1" ht="17.100000000000001" customHeight="1" x14ac:dyDescent="0.2">
      <c r="B268" s="188"/>
      <c r="C268" s="188"/>
      <c r="D268" s="188"/>
      <c r="E268" s="188"/>
      <c r="F268" s="188"/>
      <c r="G268" s="188"/>
      <c r="H268" s="188"/>
      <c r="I268" s="155"/>
      <c r="J268" s="122"/>
      <c r="K268" s="122"/>
      <c r="L268" s="122"/>
      <c r="M268" s="122"/>
      <c r="N268" s="122"/>
      <c r="O268" s="122"/>
      <c r="P268" s="122"/>
      <c r="Q268" s="122"/>
      <c r="R268" s="122"/>
      <c r="S268" s="122"/>
      <c r="T268" s="121"/>
      <c r="U268" s="121"/>
      <c r="V268" s="121"/>
    </row>
    <row r="269" spans="2:22" s="93" customFormat="1" ht="17.100000000000001" customHeight="1" x14ac:dyDescent="0.2">
      <c r="B269" s="188"/>
      <c r="C269" s="188"/>
      <c r="D269" s="188"/>
      <c r="E269" s="188"/>
      <c r="F269" s="188"/>
      <c r="G269" s="188"/>
      <c r="H269" s="188"/>
      <c r="I269" s="155"/>
      <c r="J269" s="122"/>
      <c r="K269" s="122"/>
      <c r="L269" s="122"/>
      <c r="M269" s="122"/>
      <c r="N269" s="122"/>
      <c r="O269" s="122"/>
      <c r="P269" s="122"/>
      <c r="Q269" s="122"/>
      <c r="R269" s="122"/>
      <c r="S269" s="122"/>
      <c r="T269" s="121"/>
      <c r="U269" s="121"/>
      <c r="V269" s="121"/>
    </row>
    <row r="270" spans="2:22" s="93" customFormat="1" ht="17.100000000000001" customHeight="1" x14ac:dyDescent="0.2">
      <c r="B270" s="188"/>
      <c r="C270" s="188"/>
      <c r="D270" s="188"/>
      <c r="E270" s="188"/>
      <c r="F270" s="188"/>
      <c r="G270" s="188"/>
      <c r="H270" s="188"/>
      <c r="I270" s="155"/>
      <c r="J270" s="122"/>
      <c r="K270" s="122"/>
      <c r="L270" s="122"/>
      <c r="M270" s="122"/>
      <c r="N270" s="122"/>
      <c r="O270" s="122"/>
      <c r="P270" s="122"/>
      <c r="Q270" s="122"/>
      <c r="R270" s="122"/>
      <c r="S270" s="122"/>
      <c r="T270" s="121"/>
      <c r="U270" s="121"/>
      <c r="V270" s="121"/>
    </row>
    <row r="271" spans="2:22" s="93" customFormat="1" ht="17.100000000000001" customHeight="1" x14ac:dyDescent="0.2">
      <c r="B271" s="188"/>
      <c r="C271" s="188"/>
      <c r="D271" s="188"/>
      <c r="E271" s="188"/>
      <c r="F271" s="188"/>
      <c r="G271" s="188"/>
      <c r="H271" s="188"/>
      <c r="I271" s="155"/>
      <c r="J271" s="122"/>
      <c r="K271" s="122"/>
      <c r="L271" s="122"/>
      <c r="M271" s="122"/>
      <c r="N271" s="122"/>
      <c r="O271" s="122"/>
      <c r="P271" s="122"/>
      <c r="Q271" s="122"/>
      <c r="R271" s="122"/>
      <c r="S271" s="122"/>
      <c r="T271" s="121"/>
      <c r="U271" s="121"/>
      <c r="V271" s="121"/>
    </row>
    <row r="272" spans="2:22" s="93" customFormat="1" ht="17.100000000000001" customHeight="1" x14ac:dyDescent="0.2">
      <c r="B272" s="188"/>
      <c r="C272" s="188"/>
      <c r="D272" s="188"/>
      <c r="E272" s="188"/>
      <c r="F272" s="188"/>
      <c r="G272" s="188"/>
      <c r="H272" s="188"/>
      <c r="I272" s="155"/>
      <c r="J272" s="122"/>
      <c r="K272" s="122"/>
      <c r="L272" s="122"/>
      <c r="M272" s="122"/>
      <c r="N272" s="122"/>
      <c r="O272" s="122"/>
      <c r="P272" s="122"/>
      <c r="Q272" s="122"/>
      <c r="R272" s="122"/>
      <c r="S272" s="122"/>
      <c r="T272" s="121"/>
      <c r="U272" s="121"/>
      <c r="V272" s="121"/>
    </row>
    <row r="273" spans="2:22" s="93" customFormat="1" ht="17.100000000000001" customHeight="1" x14ac:dyDescent="0.2">
      <c r="B273" s="188"/>
      <c r="C273" s="188"/>
      <c r="D273" s="188"/>
      <c r="E273" s="188"/>
      <c r="F273" s="188"/>
      <c r="G273" s="188"/>
      <c r="H273" s="188"/>
      <c r="I273" s="155"/>
      <c r="J273" s="122"/>
      <c r="K273" s="122"/>
      <c r="L273" s="122"/>
      <c r="M273" s="122"/>
      <c r="N273" s="122"/>
      <c r="O273" s="122"/>
      <c r="P273" s="122"/>
      <c r="Q273" s="122"/>
      <c r="R273" s="122"/>
      <c r="S273" s="122"/>
      <c r="T273" s="121"/>
      <c r="U273" s="121"/>
      <c r="V273" s="121"/>
    </row>
    <row r="274" spans="2:22" s="93" customFormat="1" ht="17.100000000000001" customHeight="1" x14ac:dyDescent="0.2">
      <c r="B274" s="188"/>
      <c r="C274" s="188"/>
      <c r="D274" s="188"/>
      <c r="E274" s="188"/>
      <c r="F274" s="188"/>
      <c r="G274" s="188"/>
      <c r="H274" s="188"/>
      <c r="I274" s="155"/>
      <c r="J274" s="122"/>
      <c r="K274" s="122"/>
      <c r="L274" s="122"/>
      <c r="M274" s="122"/>
      <c r="N274" s="122"/>
      <c r="O274" s="122"/>
      <c r="P274" s="122"/>
      <c r="Q274" s="122"/>
      <c r="R274" s="122"/>
      <c r="S274" s="122"/>
      <c r="T274" s="121"/>
      <c r="U274" s="121"/>
      <c r="V274" s="121"/>
    </row>
    <row r="275" spans="2:22" s="93" customFormat="1" ht="17.100000000000001" customHeight="1" x14ac:dyDescent="0.2">
      <c r="B275" s="188"/>
      <c r="C275" s="188"/>
      <c r="D275" s="188"/>
      <c r="E275" s="188"/>
      <c r="F275" s="188"/>
      <c r="G275" s="188"/>
      <c r="H275" s="188"/>
      <c r="I275" s="155"/>
      <c r="J275" s="122"/>
      <c r="K275" s="122"/>
      <c r="L275" s="122"/>
      <c r="M275" s="122"/>
      <c r="N275" s="122"/>
      <c r="O275" s="122"/>
      <c r="P275" s="122"/>
      <c r="Q275" s="122"/>
      <c r="R275" s="122"/>
      <c r="S275" s="122"/>
      <c r="T275" s="121"/>
      <c r="U275" s="121"/>
      <c r="V275" s="121"/>
    </row>
    <row r="276" spans="2:22" s="93" customFormat="1" ht="17.100000000000001" customHeight="1" x14ac:dyDescent="0.2">
      <c r="B276" s="188"/>
      <c r="C276" s="188"/>
      <c r="D276" s="188"/>
      <c r="E276" s="188"/>
      <c r="F276" s="188"/>
      <c r="G276" s="188"/>
      <c r="H276" s="188"/>
      <c r="I276" s="155"/>
      <c r="J276" s="122"/>
      <c r="K276" s="122"/>
      <c r="L276" s="122"/>
      <c r="M276" s="122"/>
      <c r="N276" s="122"/>
      <c r="O276" s="122"/>
      <c r="P276" s="122"/>
      <c r="Q276" s="122"/>
      <c r="R276" s="122"/>
      <c r="S276" s="122"/>
      <c r="T276" s="121"/>
      <c r="U276" s="121"/>
      <c r="V276" s="121"/>
    </row>
    <row r="277" spans="2:22" s="93" customFormat="1" ht="17.100000000000001" customHeight="1" x14ac:dyDescent="0.2">
      <c r="B277" s="188"/>
      <c r="C277" s="188"/>
      <c r="D277" s="188"/>
      <c r="E277" s="188"/>
      <c r="F277" s="188"/>
      <c r="G277" s="188"/>
      <c r="H277" s="188"/>
      <c r="I277" s="155"/>
      <c r="J277" s="122"/>
      <c r="K277" s="122"/>
      <c r="L277" s="122"/>
      <c r="M277" s="122"/>
      <c r="N277" s="122"/>
      <c r="O277" s="122"/>
      <c r="P277" s="122"/>
      <c r="Q277" s="122"/>
      <c r="R277" s="122"/>
      <c r="S277" s="122"/>
      <c r="T277" s="121"/>
      <c r="U277" s="121"/>
      <c r="V277" s="121"/>
    </row>
    <row r="278" spans="2:22" s="93" customFormat="1" ht="17.100000000000001" customHeight="1" x14ac:dyDescent="0.2">
      <c r="B278" s="188"/>
      <c r="C278" s="188"/>
      <c r="D278" s="188"/>
      <c r="E278" s="188"/>
      <c r="F278" s="188"/>
      <c r="G278" s="188"/>
      <c r="H278" s="188"/>
      <c r="I278" s="155"/>
      <c r="J278" s="122"/>
      <c r="K278" s="122"/>
      <c r="L278" s="122"/>
      <c r="M278" s="122"/>
      <c r="N278" s="122"/>
      <c r="O278" s="122"/>
      <c r="P278" s="122"/>
      <c r="Q278" s="122"/>
      <c r="R278" s="122"/>
      <c r="S278" s="122"/>
      <c r="T278" s="121"/>
      <c r="U278" s="121"/>
      <c r="V278" s="121"/>
    </row>
    <row r="279" spans="2:22" s="93" customFormat="1" ht="17.100000000000001" customHeight="1" x14ac:dyDescent="0.2">
      <c r="B279" s="188"/>
      <c r="C279" s="188"/>
      <c r="D279" s="188"/>
      <c r="E279" s="188"/>
      <c r="F279" s="188"/>
      <c r="G279" s="188"/>
      <c r="H279" s="188"/>
      <c r="I279" s="155"/>
      <c r="J279" s="122"/>
      <c r="K279" s="122"/>
      <c r="L279" s="122"/>
      <c r="M279" s="122"/>
      <c r="N279" s="122"/>
      <c r="O279" s="122"/>
      <c r="P279" s="122"/>
      <c r="Q279" s="122"/>
      <c r="R279" s="122"/>
      <c r="S279" s="122"/>
      <c r="T279" s="121"/>
      <c r="U279" s="121"/>
      <c r="V279" s="121"/>
    </row>
    <row r="280" spans="2:22" s="93" customFormat="1" ht="17.100000000000001" customHeight="1" x14ac:dyDescent="0.2">
      <c r="B280" s="188"/>
      <c r="C280" s="188"/>
      <c r="D280" s="188"/>
      <c r="E280" s="188"/>
      <c r="F280" s="188"/>
      <c r="G280" s="188"/>
      <c r="H280" s="188"/>
      <c r="I280" s="155"/>
      <c r="J280" s="122"/>
      <c r="K280" s="122"/>
      <c r="L280" s="122"/>
      <c r="M280" s="122"/>
      <c r="N280" s="122"/>
      <c r="O280" s="122"/>
      <c r="P280" s="122"/>
      <c r="Q280" s="122"/>
      <c r="R280" s="122"/>
      <c r="S280" s="122"/>
      <c r="T280" s="121"/>
      <c r="U280" s="121"/>
      <c r="V280" s="121"/>
    </row>
    <row r="281" spans="2:22" s="93" customFormat="1" ht="17.100000000000001" customHeight="1" x14ac:dyDescent="0.2">
      <c r="B281" s="188"/>
      <c r="C281" s="188"/>
      <c r="D281" s="188"/>
      <c r="E281" s="188"/>
      <c r="F281" s="188"/>
      <c r="G281" s="188"/>
      <c r="H281" s="188"/>
      <c r="I281" s="155"/>
      <c r="J281" s="122"/>
      <c r="K281" s="122"/>
      <c r="L281" s="122"/>
      <c r="M281" s="122"/>
      <c r="N281" s="122"/>
      <c r="O281" s="122"/>
      <c r="P281" s="122"/>
      <c r="Q281" s="122"/>
      <c r="R281" s="122"/>
      <c r="S281" s="122"/>
      <c r="T281" s="121"/>
      <c r="U281" s="121"/>
      <c r="V281" s="121"/>
    </row>
    <row r="282" spans="2:22" s="93" customFormat="1" ht="17.100000000000001" customHeight="1" x14ac:dyDescent="0.2">
      <c r="B282" s="188"/>
      <c r="C282" s="188"/>
      <c r="D282" s="188"/>
      <c r="E282" s="188"/>
      <c r="F282" s="188"/>
      <c r="G282" s="188"/>
      <c r="H282" s="188"/>
      <c r="I282" s="155"/>
      <c r="J282" s="122"/>
      <c r="K282" s="122"/>
      <c r="L282" s="122"/>
      <c r="M282" s="122"/>
      <c r="N282" s="122"/>
      <c r="O282" s="122"/>
      <c r="P282" s="122"/>
      <c r="Q282" s="122"/>
      <c r="R282" s="122"/>
      <c r="S282" s="122"/>
      <c r="T282" s="121"/>
      <c r="U282" s="121"/>
      <c r="V282" s="121"/>
    </row>
    <row r="283" spans="2:22" s="93" customFormat="1" ht="17.100000000000001" customHeight="1" x14ac:dyDescent="0.2">
      <c r="B283" s="188"/>
      <c r="C283" s="188"/>
      <c r="D283" s="188"/>
      <c r="E283" s="188"/>
      <c r="F283" s="188"/>
      <c r="G283" s="188"/>
      <c r="H283" s="188"/>
      <c r="I283" s="155"/>
      <c r="J283" s="122"/>
      <c r="K283" s="122"/>
      <c r="L283" s="122"/>
      <c r="M283" s="122"/>
      <c r="N283" s="122"/>
      <c r="O283" s="122"/>
      <c r="P283" s="122"/>
      <c r="Q283" s="122"/>
      <c r="R283" s="122"/>
      <c r="S283" s="122"/>
      <c r="T283" s="121"/>
      <c r="U283" s="121"/>
      <c r="V283" s="121"/>
    </row>
    <row r="284" spans="2:22" s="93" customFormat="1" ht="17.100000000000001" customHeight="1" x14ac:dyDescent="0.2">
      <c r="B284" s="188"/>
      <c r="C284" s="188"/>
      <c r="D284" s="188"/>
      <c r="E284" s="188"/>
      <c r="F284" s="188"/>
      <c r="G284" s="188"/>
      <c r="H284" s="188"/>
      <c r="I284" s="155"/>
      <c r="J284" s="122"/>
      <c r="K284" s="122"/>
      <c r="L284" s="122"/>
      <c r="M284" s="122"/>
      <c r="N284" s="122"/>
      <c r="O284" s="122"/>
      <c r="P284" s="122"/>
      <c r="Q284" s="122"/>
      <c r="R284" s="122"/>
      <c r="S284" s="122"/>
      <c r="T284" s="121"/>
      <c r="U284" s="121"/>
      <c r="V284" s="121"/>
    </row>
    <row r="285" spans="2:22" s="93" customFormat="1" ht="17.100000000000001" customHeight="1" x14ac:dyDescent="0.2">
      <c r="B285" s="188"/>
      <c r="C285" s="188"/>
      <c r="D285" s="188"/>
      <c r="E285" s="188"/>
      <c r="F285" s="188"/>
      <c r="G285" s="188"/>
      <c r="H285" s="188"/>
      <c r="I285" s="155"/>
      <c r="J285" s="122"/>
      <c r="K285" s="122"/>
      <c r="L285" s="122"/>
      <c r="M285" s="122"/>
      <c r="N285" s="122"/>
      <c r="O285" s="122"/>
      <c r="P285" s="122"/>
      <c r="Q285" s="122"/>
      <c r="R285" s="122"/>
      <c r="S285" s="122"/>
      <c r="T285" s="121"/>
      <c r="U285" s="121"/>
      <c r="V285" s="121"/>
    </row>
    <row r="286" spans="2:22" s="93" customFormat="1" ht="17.100000000000001" customHeight="1" x14ac:dyDescent="0.2">
      <c r="B286" s="188"/>
      <c r="C286" s="188"/>
      <c r="D286" s="188"/>
      <c r="E286" s="188"/>
      <c r="F286" s="188"/>
      <c r="G286" s="188"/>
      <c r="H286" s="188"/>
      <c r="I286" s="155"/>
      <c r="J286" s="122"/>
      <c r="K286" s="122"/>
      <c r="L286" s="122"/>
      <c r="M286" s="122"/>
      <c r="N286" s="122"/>
      <c r="O286" s="122"/>
      <c r="P286" s="122"/>
      <c r="Q286" s="122"/>
      <c r="R286" s="122"/>
      <c r="S286" s="122"/>
      <c r="T286" s="121"/>
      <c r="U286" s="121"/>
      <c r="V286" s="121"/>
    </row>
    <row r="287" spans="2:22" s="93" customFormat="1" ht="17.100000000000001" customHeight="1" x14ac:dyDescent="0.2">
      <c r="B287" s="188"/>
      <c r="C287" s="188"/>
      <c r="D287" s="188"/>
      <c r="E287" s="188"/>
      <c r="F287" s="188"/>
      <c r="G287" s="188"/>
      <c r="H287" s="188"/>
      <c r="I287" s="155"/>
      <c r="J287" s="122"/>
      <c r="K287" s="122"/>
      <c r="L287" s="122"/>
      <c r="M287" s="122"/>
      <c r="N287" s="122"/>
      <c r="O287" s="122"/>
      <c r="P287" s="122"/>
      <c r="Q287" s="122"/>
      <c r="R287" s="122"/>
      <c r="S287" s="122"/>
      <c r="T287" s="121"/>
      <c r="U287" s="121"/>
      <c r="V287" s="121"/>
    </row>
    <row r="288" spans="2:22" s="93" customFormat="1" ht="17.100000000000001" customHeight="1" x14ac:dyDescent="0.2">
      <c r="B288" s="188"/>
      <c r="C288" s="188"/>
      <c r="D288" s="188"/>
      <c r="E288" s="188"/>
      <c r="F288" s="188"/>
      <c r="G288" s="188"/>
      <c r="H288" s="188"/>
      <c r="I288" s="155"/>
      <c r="J288" s="122"/>
      <c r="K288" s="122"/>
      <c r="L288" s="122"/>
      <c r="M288" s="122"/>
      <c r="N288" s="122"/>
      <c r="O288" s="122"/>
      <c r="P288" s="122"/>
      <c r="Q288" s="122"/>
      <c r="R288" s="122"/>
      <c r="S288" s="122"/>
      <c r="T288" s="121"/>
      <c r="U288" s="121"/>
      <c r="V288" s="121"/>
    </row>
    <row r="289" spans="1:22" s="93" customFormat="1" ht="17.100000000000001" customHeight="1" x14ac:dyDescent="0.2">
      <c r="B289" s="188"/>
      <c r="C289" s="188"/>
      <c r="D289" s="188"/>
      <c r="E289" s="188"/>
      <c r="F289" s="188"/>
      <c r="G289" s="188"/>
      <c r="H289" s="188"/>
      <c r="I289" s="155"/>
      <c r="J289" s="122"/>
      <c r="K289" s="122"/>
      <c r="L289" s="122"/>
      <c r="M289" s="122"/>
      <c r="N289" s="122"/>
      <c r="O289" s="122"/>
      <c r="P289" s="122"/>
      <c r="Q289" s="122"/>
      <c r="R289" s="122"/>
      <c r="S289" s="122"/>
      <c r="T289" s="121"/>
      <c r="U289" s="121"/>
      <c r="V289" s="121"/>
    </row>
    <row r="290" spans="1:22" s="93" customFormat="1" ht="17.100000000000001" customHeight="1" x14ac:dyDescent="0.2">
      <c r="B290" s="188"/>
      <c r="C290" s="188"/>
      <c r="D290" s="188"/>
      <c r="E290" s="188"/>
      <c r="F290" s="188"/>
      <c r="G290" s="188"/>
      <c r="H290" s="188"/>
      <c r="I290" s="155"/>
      <c r="J290" s="122"/>
      <c r="K290" s="122"/>
      <c r="L290" s="122"/>
      <c r="M290" s="122"/>
      <c r="N290" s="122"/>
      <c r="O290" s="122"/>
      <c r="P290" s="122"/>
      <c r="Q290" s="122"/>
      <c r="R290" s="122"/>
      <c r="S290" s="122"/>
      <c r="T290" s="121"/>
      <c r="U290" s="121"/>
      <c r="V290" s="121"/>
    </row>
    <row r="291" spans="1:22" s="93" customFormat="1" ht="17.100000000000001" customHeight="1" x14ac:dyDescent="0.2">
      <c r="B291" s="188"/>
      <c r="C291" s="188"/>
      <c r="D291" s="188"/>
      <c r="E291" s="188"/>
      <c r="F291" s="188"/>
      <c r="G291" s="188"/>
      <c r="H291" s="188"/>
      <c r="I291" s="155"/>
      <c r="J291" s="122"/>
      <c r="K291" s="122"/>
      <c r="L291" s="122"/>
      <c r="M291" s="122"/>
      <c r="N291" s="122"/>
      <c r="O291" s="122"/>
      <c r="P291" s="122"/>
      <c r="Q291" s="122"/>
      <c r="R291" s="122"/>
      <c r="S291" s="122"/>
      <c r="T291" s="121"/>
      <c r="U291" s="121"/>
      <c r="V291" s="121"/>
    </row>
    <row r="292" spans="1:22" s="93" customFormat="1" ht="17.100000000000001" customHeight="1" x14ac:dyDescent="0.2">
      <c r="B292" s="188"/>
      <c r="C292" s="188"/>
      <c r="D292" s="188"/>
      <c r="E292" s="188"/>
      <c r="F292" s="188"/>
      <c r="G292" s="188"/>
      <c r="H292" s="188"/>
      <c r="I292" s="155"/>
      <c r="J292" s="122"/>
      <c r="K292" s="122"/>
      <c r="L292" s="122"/>
      <c r="M292" s="122"/>
      <c r="N292" s="122"/>
      <c r="O292" s="122"/>
      <c r="P292" s="122"/>
      <c r="Q292" s="122"/>
      <c r="R292" s="122"/>
      <c r="S292" s="122"/>
      <c r="T292" s="121"/>
      <c r="U292" s="121"/>
      <c r="V292" s="121"/>
    </row>
    <row r="293" spans="1:22" s="93" customFormat="1" ht="17.100000000000001" customHeight="1" x14ac:dyDescent="0.2">
      <c r="B293" s="188"/>
      <c r="C293" s="188"/>
      <c r="D293" s="188"/>
      <c r="E293" s="188"/>
      <c r="F293" s="188"/>
      <c r="G293" s="188"/>
      <c r="H293" s="188"/>
      <c r="I293" s="155"/>
      <c r="J293" s="122"/>
      <c r="K293" s="122"/>
      <c r="L293" s="122"/>
      <c r="M293" s="122"/>
      <c r="N293" s="122"/>
      <c r="O293" s="122"/>
      <c r="P293" s="122"/>
      <c r="Q293" s="122"/>
      <c r="R293" s="122"/>
      <c r="S293" s="122"/>
      <c r="T293" s="121"/>
      <c r="U293" s="121"/>
      <c r="V293" s="121"/>
    </row>
    <row r="294" spans="1:22" s="93" customFormat="1" ht="17.100000000000001" customHeight="1" x14ac:dyDescent="0.2">
      <c r="A294" s="188"/>
      <c r="B294" s="188"/>
      <c r="C294" s="188"/>
      <c r="D294" s="188"/>
      <c r="E294" s="188"/>
      <c r="F294" s="188"/>
      <c r="G294" s="188"/>
      <c r="H294" s="188"/>
      <c r="I294" s="160"/>
      <c r="J294" s="135"/>
      <c r="K294" s="135"/>
      <c r="L294" s="135"/>
      <c r="M294" s="135"/>
      <c r="N294" s="122"/>
      <c r="O294" s="122"/>
      <c r="P294" s="122"/>
      <c r="Q294" s="122"/>
      <c r="R294" s="122"/>
      <c r="S294" s="122"/>
      <c r="T294" s="121"/>
      <c r="U294" s="121"/>
      <c r="V294" s="121"/>
    </row>
    <row r="295" spans="1:22" s="93" customFormat="1" ht="17.100000000000001" customHeight="1" x14ac:dyDescent="0.2">
      <c r="A295" s="188"/>
      <c r="B295" s="188"/>
      <c r="C295" s="188"/>
      <c r="D295" s="188"/>
      <c r="E295" s="188"/>
      <c r="F295" s="188"/>
      <c r="G295" s="188"/>
      <c r="H295" s="188"/>
      <c r="I295" s="160"/>
      <c r="J295" s="135"/>
      <c r="K295" s="135"/>
      <c r="L295" s="135"/>
      <c r="M295" s="135"/>
      <c r="N295" s="122"/>
      <c r="O295" s="122"/>
      <c r="P295" s="122"/>
      <c r="Q295" s="122"/>
      <c r="R295" s="122"/>
      <c r="S295" s="122"/>
      <c r="T295" s="121"/>
      <c r="U295" s="121"/>
      <c r="V295" s="121"/>
    </row>
    <row r="296" spans="1:22" s="93" customFormat="1" ht="17.100000000000001" customHeight="1" x14ac:dyDescent="0.2">
      <c r="A296" s="188"/>
      <c r="B296" s="188"/>
      <c r="C296" s="188"/>
      <c r="D296" s="188"/>
      <c r="E296" s="188"/>
      <c r="F296" s="188"/>
      <c r="G296" s="188"/>
      <c r="H296" s="188"/>
      <c r="I296" s="160"/>
      <c r="J296" s="135"/>
      <c r="K296" s="135"/>
      <c r="L296" s="135"/>
      <c r="M296" s="135"/>
      <c r="N296" s="122"/>
      <c r="O296" s="122"/>
      <c r="P296" s="122"/>
      <c r="Q296" s="122"/>
      <c r="R296" s="122"/>
      <c r="S296" s="122"/>
      <c r="T296" s="121"/>
      <c r="U296" s="121"/>
      <c r="V296" s="121"/>
    </row>
    <row r="297" spans="1:22" s="93" customFormat="1" ht="17.100000000000001" customHeight="1" x14ac:dyDescent="0.2">
      <c r="A297" s="188"/>
      <c r="B297" s="188"/>
      <c r="C297" s="188"/>
      <c r="D297" s="188"/>
      <c r="E297" s="188"/>
      <c r="F297" s="188"/>
      <c r="G297" s="188"/>
      <c r="H297" s="188"/>
      <c r="I297" s="160"/>
      <c r="J297" s="135"/>
      <c r="K297" s="135"/>
      <c r="L297" s="135"/>
      <c r="M297" s="135"/>
      <c r="N297" s="122"/>
      <c r="O297" s="122"/>
      <c r="P297" s="122"/>
      <c r="Q297" s="122"/>
      <c r="R297" s="122"/>
      <c r="S297" s="122"/>
      <c r="T297" s="121"/>
      <c r="U297" s="121"/>
      <c r="V297" s="121"/>
    </row>
    <row r="298" spans="1:22" s="93" customFormat="1" ht="17.100000000000001" customHeight="1" x14ac:dyDescent="0.2">
      <c r="A298" s="188"/>
      <c r="B298" s="188"/>
      <c r="C298" s="188"/>
      <c r="D298" s="188"/>
      <c r="E298" s="188"/>
      <c r="F298" s="188"/>
      <c r="G298" s="188"/>
      <c r="H298" s="188"/>
      <c r="I298" s="160"/>
      <c r="J298" s="135"/>
      <c r="K298" s="135"/>
      <c r="L298" s="135"/>
      <c r="M298" s="135"/>
      <c r="N298" s="135"/>
      <c r="O298" s="122"/>
      <c r="P298" s="122"/>
      <c r="Q298" s="122"/>
      <c r="R298" s="122"/>
      <c r="S298" s="122"/>
      <c r="T298" s="121"/>
      <c r="U298" s="121"/>
      <c r="V298" s="121"/>
    </row>
    <row r="299" spans="1:22" s="93" customFormat="1" ht="17.100000000000001" customHeight="1" x14ac:dyDescent="0.2">
      <c r="A299" s="188"/>
      <c r="B299" s="188"/>
      <c r="C299" s="188"/>
      <c r="D299" s="188"/>
      <c r="E299" s="188"/>
      <c r="F299" s="188"/>
      <c r="G299" s="188"/>
      <c r="H299" s="188"/>
      <c r="I299" s="160"/>
      <c r="J299" s="135"/>
      <c r="K299" s="135"/>
      <c r="L299" s="135"/>
      <c r="M299" s="135"/>
      <c r="N299" s="122"/>
      <c r="O299" s="122"/>
      <c r="P299" s="122"/>
      <c r="Q299" s="122"/>
      <c r="R299" s="122"/>
      <c r="S299" s="122"/>
      <c r="T299" s="121"/>
      <c r="U299" s="121"/>
      <c r="V299" s="121"/>
    </row>
    <row r="300" spans="1:22" s="93" customFormat="1" ht="17.100000000000001" customHeight="1" x14ac:dyDescent="0.2">
      <c r="A300" s="188"/>
      <c r="B300" s="188"/>
      <c r="C300" s="188"/>
      <c r="D300" s="188"/>
      <c r="E300" s="188"/>
      <c r="F300" s="188"/>
      <c r="G300" s="188"/>
      <c r="H300" s="188"/>
      <c r="I300" s="160"/>
      <c r="J300" s="135"/>
      <c r="K300" s="135"/>
      <c r="L300" s="135"/>
      <c r="M300" s="135"/>
      <c r="N300" s="122"/>
      <c r="O300" s="122"/>
      <c r="P300" s="122"/>
      <c r="Q300" s="122"/>
      <c r="R300" s="122"/>
      <c r="S300" s="122"/>
      <c r="T300" s="121"/>
      <c r="U300" s="121"/>
      <c r="V300" s="121"/>
    </row>
    <row r="301" spans="1:22" s="93" customFormat="1" ht="17.100000000000001" customHeight="1" x14ac:dyDescent="0.2">
      <c r="A301" s="188"/>
      <c r="B301" s="188"/>
      <c r="C301" s="188"/>
      <c r="D301" s="188"/>
      <c r="E301" s="188"/>
      <c r="F301" s="188"/>
      <c r="G301" s="188"/>
      <c r="H301" s="188"/>
      <c r="I301" s="160"/>
      <c r="J301" s="135"/>
      <c r="K301" s="135"/>
      <c r="L301" s="135"/>
      <c r="M301" s="135"/>
      <c r="N301" s="122"/>
      <c r="O301" s="122"/>
      <c r="P301" s="122"/>
      <c r="Q301" s="122"/>
      <c r="R301" s="122"/>
      <c r="S301" s="122"/>
      <c r="T301" s="121"/>
      <c r="U301" s="121"/>
      <c r="V301" s="121"/>
    </row>
    <row r="302" spans="1:22" s="93" customFormat="1" ht="17.100000000000001" customHeight="1" x14ac:dyDescent="0.2">
      <c r="A302" s="188"/>
      <c r="B302" s="188"/>
      <c r="C302" s="188"/>
      <c r="D302" s="188"/>
      <c r="E302" s="188"/>
      <c r="F302" s="188"/>
      <c r="G302" s="188"/>
      <c r="H302" s="188"/>
      <c r="I302" s="160"/>
      <c r="J302" s="135"/>
      <c r="K302" s="135"/>
      <c r="L302" s="135"/>
      <c r="M302" s="135"/>
      <c r="N302" s="122"/>
      <c r="O302" s="122"/>
      <c r="P302" s="122"/>
      <c r="Q302" s="122"/>
      <c r="R302" s="122"/>
      <c r="S302" s="122"/>
      <c r="T302" s="121"/>
      <c r="U302" s="121"/>
      <c r="V302" s="121"/>
    </row>
    <row r="303" spans="1:22" s="93" customFormat="1" ht="17.100000000000001" customHeight="1" x14ac:dyDescent="0.2">
      <c r="A303" s="188"/>
      <c r="B303" s="188"/>
      <c r="C303" s="188"/>
      <c r="D303" s="188"/>
      <c r="E303" s="188"/>
      <c r="F303" s="188"/>
      <c r="G303" s="188"/>
      <c r="H303" s="188"/>
      <c r="I303" s="160"/>
      <c r="J303" s="135"/>
      <c r="K303" s="135"/>
      <c r="L303" s="135"/>
      <c r="M303" s="135"/>
      <c r="N303" s="122"/>
      <c r="O303" s="122"/>
      <c r="P303" s="122"/>
      <c r="Q303" s="122"/>
      <c r="R303" s="122"/>
      <c r="S303" s="122"/>
      <c r="T303" s="121"/>
      <c r="U303" s="121"/>
      <c r="V303" s="121"/>
    </row>
    <row r="304" spans="1:22" s="93" customFormat="1" ht="17.100000000000001" customHeight="1" x14ac:dyDescent="0.2">
      <c r="A304" s="188"/>
      <c r="B304" s="188"/>
      <c r="C304" s="188"/>
      <c r="D304" s="188"/>
      <c r="E304" s="188"/>
      <c r="F304" s="188"/>
      <c r="G304" s="188"/>
      <c r="H304" s="188"/>
      <c r="I304" s="160"/>
      <c r="J304" s="135"/>
      <c r="K304" s="135"/>
      <c r="L304" s="135"/>
      <c r="M304" s="135"/>
      <c r="N304" s="122"/>
      <c r="O304" s="122"/>
      <c r="P304" s="122"/>
      <c r="Q304" s="122"/>
      <c r="R304" s="122"/>
      <c r="S304" s="122"/>
      <c r="T304" s="121"/>
      <c r="U304" s="121"/>
      <c r="V304" s="121"/>
    </row>
    <row r="305" spans="1:13" ht="17.100000000000001" customHeight="1" x14ac:dyDescent="0.2">
      <c r="A305" s="24"/>
      <c r="B305" s="24"/>
      <c r="C305" s="24"/>
      <c r="D305" s="24"/>
      <c r="E305" s="24"/>
      <c r="F305" s="24"/>
      <c r="G305" s="24"/>
      <c r="H305" s="24"/>
      <c r="I305" s="129"/>
      <c r="J305" s="135"/>
      <c r="K305" s="135"/>
      <c r="L305" s="135"/>
      <c r="M305" s="135"/>
    </row>
    <row r="306" spans="1:13" ht="17.100000000000001" customHeight="1" x14ac:dyDescent="0.2">
      <c r="A306" s="24"/>
      <c r="B306" s="24"/>
      <c r="C306" s="24"/>
      <c r="D306" s="24"/>
      <c r="E306" s="24"/>
      <c r="F306" s="24"/>
      <c r="G306" s="24"/>
      <c r="H306" s="24"/>
      <c r="I306" s="129"/>
      <c r="J306" s="135"/>
      <c r="K306" s="135"/>
      <c r="L306" s="135"/>
      <c r="M306" s="135"/>
    </row>
  </sheetData>
  <sheetProtection algorithmName="SHA-512" hashValue="CsU6ILyDbNaE2JQEDlhm/wP5zloIFmQAfXNb3YJ94jFut8e1R8sft0wlqeJRD7RSF2/5H9cwtb/cl6pmDVcBNA==" saltValue="eT6Q586tqpgJ3DGLDZeAPQ==" spinCount="100000" sheet="1" objects="1" scenarios="1" selectLockedCells="1"/>
  <customSheetViews>
    <customSheetView guid="{FE27F3BB-8686-48A9-9FE6-C2348F62E79E}" showGridLines="0" hiddenRows="1" hiddenColumns="1">
      <selection activeCell="D59" sqref="D59:F59"/>
      <rowBreaks count="1" manualBreakCount="1">
        <brk id="88" max="7" man="1"/>
      </rowBreaks>
      <pageMargins left="0.70866141732283472" right="0.70866141732283472" top="0.74803149606299213" bottom="0.74803149606299213" header="0.31496062992125984" footer="0.31496062992125984"/>
      <printOptions horizontalCentered="1"/>
      <pageSetup paperSize="9" scale="75" fitToHeight="2" orientation="portrait" r:id="rId1"/>
      <headerFooter alignWithMargins="0">
        <oddFooter>&amp;R&amp;6Seite &amp;P von &amp;N</oddFooter>
      </headerFooter>
    </customSheetView>
  </customSheetViews>
  <mergeCells count="117">
    <mergeCell ref="G121:H121"/>
    <mergeCell ref="P101:V101"/>
    <mergeCell ref="B103:D103"/>
    <mergeCell ref="B109:H109"/>
    <mergeCell ref="B111:D111"/>
    <mergeCell ref="G42:H42"/>
    <mergeCell ref="D59:F59"/>
    <mergeCell ref="E61:F61"/>
    <mergeCell ref="C61:D61"/>
    <mergeCell ref="D84:F84"/>
    <mergeCell ref="G95:H95"/>
    <mergeCell ref="P106:V106"/>
    <mergeCell ref="P109:V109"/>
    <mergeCell ref="B90:H90"/>
    <mergeCell ref="B100:H100"/>
    <mergeCell ref="B80:H80"/>
    <mergeCell ref="B89:H89"/>
    <mergeCell ref="B108:H108"/>
    <mergeCell ref="D86:E86"/>
    <mergeCell ref="F86:H86"/>
    <mergeCell ref="B102:H102"/>
    <mergeCell ref="C47:D47"/>
    <mergeCell ref="B246:H246"/>
    <mergeCell ref="B247:H247"/>
    <mergeCell ref="G184:G186"/>
    <mergeCell ref="H184:H186"/>
    <mergeCell ref="F237:H237"/>
    <mergeCell ref="F236:H236"/>
    <mergeCell ref="F241:H241"/>
    <mergeCell ref="F240:H240"/>
    <mergeCell ref="B237:D237"/>
    <mergeCell ref="B241:D241"/>
    <mergeCell ref="F242:H242"/>
    <mergeCell ref="B244:H244"/>
    <mergeCell ref="B245:H245"/>
    <mergeCell ref="B188:F188"/>
    <mergeCell ref="B226:H226"/>
    <mergeCell ref="B243:H243"/>
    <mergeCell ref="B242:D242"/>
    <mergeCell ref="F209:H209"/>
    <mergeCell ref="F229:H229"/>
    <mergeCell ref="B195:F195"/>
    <mergeCell ref="B200:F200"/>
    <mergeCell ref="B238:D238"/>
    <mergeCell ref="B194:F194"/>
    <mergeCell ref="B196:F196"/>
    <mergeCell ref="B135:H135"/>
    <mergeCell ref="F238:H238"/>
    <mergeCell ref="B210:H210"/>
    <mergeCell ref="A1:H1"/>
    <mergeCell ref="B11:H11"/>
    <mergeCell ref="B26:H26"/>
    <mergeCell ref="B10:H10"/>
    <mergeCell ref="B54:H54"/>
    <mergeCell ref="G9:H9"/>
    <mergeCell ref="F8:H8"/>
    <mergeCell ref="A53:H53"/>
    <mergeCell ref="B52:H52"/>
    <mergeCell ref="G49:H49"/>
    <mergeCell ref="F15:H15"/>
    <mergeCell ref="B17:E17"/>
    <mergeCell ref="F17:H17"/>
    <mergeCell ref="B234:H234"/>
    <mergeCell ref="E174:H174"/>
    <mergeCell ref="E177:H177"/>
    <mergeCell ref="E178:H178"/>
    <mergeCell ref="E179:F179"/>
    <mergeCell ref="B191:F191"/>
    <mergeCell ref="B193:F193"/>
    <mergeCell ref="E78:H78"/>
    <mergeCell ref="G187:H187"/>
    <mergeCell ref="G180:H180"/>
    <mergeCell ref="E181:H181"/>
    <mergeCell ref="F231:H231"/>
    <mergeCell ref="B197:F197"/>
    <mergeCell ref="B199:F199"/>
    <mergeCell ref="B201:F201"/>
    <mergeCell ref="E175:H175"/>
    <mergeCell ref="E176:H176"/>
    <mergeCell ref="F230:H230"/>
    <mergeCell ref="B212:H212"/>
    <mergeCell ref="B214:H214"/>
    <mergeCell ref="F158:H158"/>
    <mergeCell ref="E164:H164"/>
    <mergeCell ref="E165:H165"/>
    <mergeCell ref="E172:H172"/>
    <mergeCell ref="E173:H173"/>
    <mergeCell ref="E166:H166"/>
    <mergeCell ref="G167:H167"/>
    <mergeCell ref="B169:H169"/>
    <mergeCell ref="B161:H161"/>
    <mergeCell ref="E171:H171"/>
    <mergeCell ref="E163:H163"/>
    <mergeCell ref="C4:H4"/>
    <mergeCell ref="C5:H5"/>
    <mergeCell ref="C6:H6"/>
    <mergeCell ref="B146:H146"/>
    <mergeCell ref="F143:H143"/>
    <mergeCell ref="F144:H144"/>
    <mergeCell ref="F142:H142"/>
    <mergeCell ref="B141:H141"/>
    <mergeCell ref="B127:H127"/>
    <mergeCell ref="B140:H140"/>
    <mergeCell ref="G113:H113"/>
    <mergeCell ref="C125:H125"/>
    <mergeCell ref="G124:H124"/>
    <mergeCell ref="B64:D64"/>
    <mergeCell ref="B67:H67"/>
    <mergeCell ref="B116:H116"/>
    <mergeCell ref="C119:D119"/>
    <mergeCell ref="G73:H73"/>
    <mergeCell ref="F119:H119"/>
    <mergeCell ref="G74:H74"/>
    <mergeCell ref="B101:H101"/>
    <mergeCell ref="B117:H117"/>
    <mergeCell ref="B121:D121"/>
    <mergeCell ref="C46:D46"/>
  </mergeCells>
  <phoneticPr fontId="14" type="noConversion"/>
  <hyperlinks>
    <hyperlink ref="H122" r:id="rId2" display="http://www.umweltbundesamt.at/fileadmin/site/umweltthemen/laerm/forum_schall/downloads/Informationsblatt_Luftwaermepumpen_2013.pdf"/>
  </hyperlinks>
  <printOptions horizontalCentered="1"/>
  <pageMargins left="0.70866141732283472" right="0.70866141732283472" top="0.74803149606299213" bottom="0.74803149606299213" header="0.31496062992125984" footer="0.31496062992125984"/>
  <pageSetup paperSize="9" scale="75" fitToHeight="2" orientation="portrait" r:id="rId3"/>
  <headerFooter alignWithMargins="0">
    <oddFooter>&amp;L&amp;D&amp;RSeite &amp;P von &amp;N</oddFooter>
  </headerFooter>
  <rowBreaks count="1" manualBreakCount="1">
    <brk id="88" max="7" man="1"/>
  </rowBreaks>
  <ignoredErrors>
    <ignoredError sqref="A127" numberStoredAsText="1"/>
    <ignoredError sqref="Q64 R78 R85"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414" r:id="rId6" name="Drop Down 390">
              <controlPr locked="0" defaultSize="0" autoLine="0" autoPict="0">
                <anchor moveWithCells="1">
                  <from>
                    <xdr:col>6</xdr:col>
                    <xdr:colOff>371475</xdr:colOff>
                    <xdr:row>54</xdr:row>
                    <xdr:rowOff>9525</xdr:rowOff>
                  </from>
                  <to>
                    <xdr:col>7</xdr:col>
                    <xdr:colOff>514350</xdr:colOff>
                    <xdr:row>55</xdr:row>
                    <xdr:rowOff>19050</xdr:rowOff>
                  </to>
                </anchor>
              </controlPr>
            </control>
          </mc:Choice>
        </mc:AlternateContent>
        <mc:AlternateContent xmlns:mc="http://schemas.openxmlformats.org/markup-compatibility/2006">
          <mc:Choice Requires="x14">
            <control shapeId="1415" r:id="rId7" name="Drop Down 391">
              <controlPr locked="0" defaultSize="0" autoLine="0" autoPict="0">
                <anchor moveWithCells="1">
                  <from>
                    <xdr:col>6</xdr:col>
                    <xdr:colOff>371475</xdr:colOff>
                    <xdr:row>57</xdr:row>
                    <xdr:rowOff>0</xdr:rowOff>
                  </from>
                  <to>
                    <xdr:col>7</xdr:col>
                    <xdr:colOff>514350</xdr:colOff>
                    <xdr:row>57</xdr:row>
                    <xdr:rowOff>200025</xdr:rowOff>
                  </to>
                </anchor>
              </controlPr>
            </control>
          </mc:Choice>
        </mc:AlternateContent>
        <mc:AlternateContent xmlns:mc="http://schemas.openxmlformats.org/markup-compatibility/2006">
          <mc:Choice Requires="x14">
            <control shapeId="1416" r:id="rId8" name="Drop Down 392">
              <controlPr locked="0" defaultSize="0" autoLine="0" autoPict="0">
                <anchor moveWithCells="1">
                  <from>
                    <xdr:col>6</xdr:col>
                    <xdr:colOff>371475</xdr:colOff>
                    <xdr:row>58</xdr:row>
                    <xdr:rowOff>200025</xdr:rowOff>
                  </from>
                  <to>
                    <xdr:col>7</xdr:col>
                    <xdr:colOff>504825</xdr:colOff>
                    <xdr:row>59</xdr:row>
                    <xdr:rowOff>190500</xdr:rowOff>
                  </to>
                </anchor>
              </controlPr>
            </control>
          </mc:Choice>
        </mc:AlternateContent>
        <mc:AlternateContent xmlns:mc="http://schemas.openxmlformats.org/markup-compatibility/2006">
          <mc:Choice Requires="x14">
            <control shapeId="1417" r:id="rId9" name="Drop Down 393">
              <controlPr locked="0" defaultSize="0" autoLine="0" autoPict="0">
                <anchor moveWithCells="1">
                  <from>
                    <xdr:col>6</xdr:col>
                    <xdr:colOff>361950</xdr:colOff>
                    <xdr:row>60</xdr:row>
                    <xdr:rowOff>200025</xdr:rowOff>
                  </from>
                  <to>
                    <xdr:col>7</xdr:col>
                    <xdr:colOff>504825</xdr:colOff>
                    <xdr:row>61</xdr:row>
                    <xdr:rowOff>190500</xdr:rowOff>
                  </to>
                </anchor>
              </controlPr>
            </control>
          </mc:Choice>
        </mc:AlternateContent>
        <mc:AlternateContent xmlns:mc="http://schemas.openxmlformats.org/markup-compatibility/2006">
          <mc:Choice Requires="x14">
            <control shapeId="1418" r:id="rId10" name="Check Box 394">
              <controlPr locked="0" defaultSize="0" autoFill="0" autoLine="0" autoPict="0">
                <anchor moveWithCells="1" sizeWithCells="1">
                  <from>
                    <xdr:col>5</xdr:col>
                    <xdr:colOff>257175</xdr:colOff>
                    <xdr:row>7</xdr:row>
                    <xdr:rowOff>200025</xdr:rowOff>
                  </from>
                  <to>
                    <xdr:col>5</xdr:col>
                    <xdr:colOff>561975</xdr:colOff>
                    <xdr:row>8</xdr:row>
                    <xdr:rowOff>200025</xdr:rowOff>
                  </to>
                </anchor>
              </controlPr>
            </control>
          </mc:Choice>
        </mc:AlternateContent>
        <mc:AlternateContent xmlns:mc="http://schemas.openxmlformats.org/markup-compatibility/2006">
          <mc:Choice Requires="x14">
            <control shapeId="1422" r:id="rId11" name="Check Box 398">
              <controlPr locked="0" defaultSize="0" autoFill="0" autoLine="0" autoPict="0">
                <anchor moveWithCells="1" sizeWithCells="1">
                  <from>
                    <xdr:col>1</xdr:col>
                    <xdr:colOff>76200</xdr:colOff>
                    <xdr:row>7</xdr:row>
                    <xdr:rowOff>200025</xdr:rowOff>
                  </from>
                  <to>
                    <xdr:col>2</xdr:col>
                    <xdr:colOff>0</xdr:colOff>
                    <xdr:row>9</xdr:row>
                    <xdr:rowOff>0</xdr:rowOff>
                  </to>
                </anchor>
              </controlPr>
            </control>
          </mc:Choice>
        </mc:AlternateContent>
        <mc:AlternateContent xmlns:mc="http://schemas.openxmlformats.org/markup-compatibility/2006">
          <mc:Choice Requires="x14">
            <control shapeId="1424" r:id="rId12" name="Check Box 400">
              <controlPr locked="0" defaultSize="0" autoFill="0" autoLine="0" autoPict="0">
                <anchor moveWithCells="1" sizeWithCells="1">
                  <from>
                    <xdr:col>1</xdr:col>
                    <xdr:colOff>76200</xdr:colOff>
                    <xdr:row>7</xdr:row>
                    <xdr:rowOff>0</xdr:rowOff>
                  </from>
                  <to>
                    <xdr:col>2</xdr:col>
                    <xdr:colOff>0</xdr:colOff>
                    <xdr:row>8</xdr:row>
                    <xdr:rowOff>9525</xdr:rowOff>
                  </to>
                </anchor>
              </controlPr>
            </control>
          </mc:Choice>
        </mc:AlternateContent>
        <mc:AlternateContent xmlns:mc="http://schemas.openxmlformats.org/markup-compatibility/2006">
          <mc:Choice Requires="x14">
            <control shapeId="1439" r:id="rId13" name="Check Box 415">
              <controlPr locked="0" defaultSize="0" autoFill="0" autoLine="0" autoPict="0">
                <anchor moveWithCells="1" sizeWithCells="1">
                  <from>
                    <xdr:col>4</xdr:col>
                    <xdr:colOff>66675</xdr:colOff>
                    <xdr:row>13</xdr:row>
                    <xdr:rowOff>161925</xdr:rowOff>
                  </from>
                  <to>
                    <xdr:col>4</xdr:col>
                    <xdr:colOff>371475</xdr:colOff>
                    <xdr:row>15</xdr:row>
                    <xdr:rowOff>19050</xdr:rowOff>
                  </to>
                </anchor>
              </controlPr>
            </control>
          </mc:Choice>
        </mc:AlternateContent>
        <mc:AlternateContent xmlns:mc="http://schemas.openxmlformats.org/markup-compatibility/2006">
          <mc:Choice Requires="x14">
            <control shapeId="1440" r:id="rId14" name="Check Box 416">
              <controlPr locked="0" defaultSize="0" autoFill="0" autoLine="0" autoPict="0">
                <anchor moveWithCells="1" sizeWithCells="1">
                  <from>
                    <xdr:col>4</xdr:col>
                    <xdr:colOff>66675</xdr:colOff>
                    <xdr:row>12</xdr:row>
                    <xdr:rowOff>190500</xdr:rowOff>
                  </from>
                  <to>
                    <xdr:col>4</xdr:col>
                    <xdr:colOff>371475</xdr:colOff>
                    <xdr:row>13</xdr:row>
                    <xdr:rowOff>200025</xdr:rowOff>
                  </to>
                </anchor>
              </controlPr>
            </control>
          </mc:Choice>
        </mc:AlternateContent>
        <mc:AlternateContent xmlns:mc="http://schemas.openxmlformats.org/markup-compatibility/2006">
          <mc:Choice Requires="x14">
            <control shapeId="1441" r:id="rId15" name="Check Box 417">
              <controlPr locked="0" defaultSize="0" autoFill="0" autoLine="0" autoPict="0">
                <anchor moveWithCells="1" sizeWithCells="1">
                  <from>
                    <xdr:col>4</xdr:col>
                    <xdr:colOff>66675</xdr:colOff>
                    <xdr:row>11</xdr:row>
                    <xdr:rowOff>180975</xdr:rowOff>
                  </from>
                  <to>
                    <xdr:col>4</xdr:col>
                    <xdr:colOff>371475</xdr:colOff>
                    <xdr:row>12</xdr:row>
                    <xdr:rowOff>200025</xdr:rowOff>
                  </to>
                </anchor>
              </controlPr>
            </control>
          </mc:Choice>
        </mc:AlternateContent>
        <mc:AlternateContent xmlns:mc="http://schemas.openxmlformats.org/markup-compatibility/2006">
          <mc:Choice Requires="x14">
            <control shapeId="1442" r:id="rId16" name="Check Box 418">
              <controlPr locked="0" defaultSize="0" autoFill="0" autoLine="0" autoPict="0">
                <anchor moveWithCells="1" sizeWithCells="1">
                  <from>
                    <xdr:col>4</xdr:col>
                    <xdr:colOff>66675</xdr:colOff>
                    <xdr:row>10</xdr:row>
                    <xdr:rowOff>238125</xdr:rowOff>
                  </from>
                  <to>
                    <xdr:col>4</xdr:col>
                    <xdr:colOff>371475</xdr:colOff>
                    <xdr:row>12</xdr:row>
                    <xdr:rowOff>0</xdr:rowOff>
                  </to>
                </anchor>
              </controlPr>
            </control>
          </mc:Choice>
        </mc:AlternateContent>
        <mc:AlternateContent xmlns:mc="http://schemas.openxmlformats.org/markup-compatibility/2006">
          <mc:Choice Requires="x14">
            <control shapeId="1443" r:id="rId17" name="Check Box 419">
              <controlPr locked="0" defaultSize="0" autoFill="0" autoLine="0" autoPict="0">
                <anchor moveWithCells="1" sizeWithCells="1">
                  <from>
                    <xdr:col>1</xdr:col>
                    <xdr:colOff>66675</xdr:colOff>
                    <xdr:row>13</xdr:row>
                    <xdr:rowOff>171450</xdr:rowOff>
                  </from>
                  <to>
                    <xdr:col>2</xdr:col>
                    <xdr:colOff>76200</xdr:colOff>
                    <xdr:row>15</xdr:row>
                    <xdr:rowOff>47625</xdr:rowOff>
                  </to>
                </anchor>
              </controlPr>
            </control>
          </mc:Choice>
        </mc:AlternateContent>
        <mc:AlternateContent xmlns:mc="http://schemas.openxmlformats.org/markup-compatibility/2006">
          <mc:Choice Requires="x14">
            <control shapeId="1444" r:id="rId18" name="Check Box 420">
              <controlPr locked="0" defaultSize="0" autoFill="0" autoLine="0" autoPict="0">
                <anchor moveWithCells="1" sizeWithCells="1">
                  <from>
                    <xdr:col>1</xdr:col>
                    <xdr:colOff>66675</xdr:colOff>
                    <xdr:row>12</xdr:row>
                    <xdr:rowOff>190500</xdr:rowOff>
                  </from>
                  <to>
                    <xdr:col>2</xdr:col>
                    <xdr:colOff>0</xdr:colOff>
                    <xdr:row>13</xdr:row>
                    <xdr:rowOff>200025</xdr:rowOff>
                  </to>
                </anchor>
              </controlPr>
            </control>
          </mc:Choice>
        </mc:AlternateContent>
        <mc:AlternateContent xmlns:mc="http://schemas.openxmlformats.org/markup-compatibility/2006">
          <mc:Choice Requires="x14">
            <control shapeId="1445" r:id="rId19" name="Check Box 421">
              <controlPr locked="0" defaultSize="0" autoFill="0" autoLine="0" autoPict="0">
                <anchor moveWithCells="1" sizeWithCells="1">
                  <from>
                    <xdr:col>1</xdr:col>
                    <xdr:colOff>66675</xdr:colOff>
                    <xdr:row>11</xdr:row>
                    <xdr:rowOff>180975</xdr:rowOff>
                  </from>
                  <to>
                    <xdr:col>2</xdr:col>
                    <xdr:colOff>0</xdr:colOff>
                    <xdr:row>12</xdr:row>
                    <xdr:rowOff>200025</xdr:rowOff>
                  </to>
                </anchor>
              </controlPr>
            </control>
          </mc:Choice>
        </mc:AlternateContent>
        <mc:AlternateContent xmlns:mc="http://schemas.openxmlformats.org/markup-compatibility/2006">
          <mc:Choice Requires="x14">
            <control shapeId="1446" r:id="rId20" name="Check Box 422">
              <controlPr locked="0" defaultSize="0" autoFill="0" autoLine="0" autoPict="0">
                <anchor moveWithCells="1" sizeWithCells="1">
                  <from>
                    <xdr:col>1</xdr:col>
                    <xdr:colOff>66675</xdr:colOff>
                    <xdr:row>10</xdr:row>
                    <xdr:rowOff>228600</xdr:rowOff>
                  </from>
                  <to>
                    <xdr:col>2</xdr:col>
                    <xdr:colOff>0</xdr:colOff>
                    <xdr:row>11</xdr:row>
                    <xdr:rowOff>200025</xdr:rowOff>
                  </to>
                </anchor>
              </controlPr>
            </control>
          </mc:Choice>
        </mc:AlternateContent>
        <mc:AlternateContent xmlns:mc="http://schemas.openxmlformats.org/markup-compatibility/2006">
          <mc:Choice Requires="x14">
            <control shapeId="1480" r:id="rId21" name="Check Box 456">
              <controlPr locked="0" defaultSize="0" autoFill="0" autoLine="0" autoPict="0">
                <anchor moveWithCells="1" sizeWithCells="1">
                  <from>
                    <xdr:col>6</xdr:col>
                    <xdr:colOff>161925</xdr:colOff>
                    <xdr:row>7</xdr:row>
                    <xdr:rowOff>180975</xdr:rowOff>
                  </from>
                  <to>
                    <xdr:col>6</xdr:col>
                    <xdr:colOff>466725</xdr:colOff>
                    <xdr:row>8</xdr:row>
                    <xdr:rowOff>180975</xdr:rowOff>
                  </to>
                </anchor>
              </controlPr>
            </control>
          </mc:Choice>
        </mc:AlternateContent>
        <mc:AlternateContent xmlns:mc="http://schemas.openxmlformats.org/markup-compatibility/2006">
          <mc:Choice Requires="x14">
            <control shapeId="1483" r:id="rId22" name="Drop Down 459">
              <controlPr locked="0" defaultSize="0" autoLine="0" autoPict="0">
                <anchor moveWithCells="1">
                  <from>
                    <xdr:col>4</xdr:col>
                    <xdr:colOff>800100</xdr:colOff>
                    <xdr:row>72</xdr:row>
                    <xdr:rowOff>0</xdr:rowOff>
                  </from>
                  <to>
                    <xdr:col>5</xdr:col>
                    <xdr:colOff>790575</xdr:colOff>
                    <xdr:row>73</xdr:row>
                    <xdr:rowOff>9525</xdr:rowOff>
                  </to>
                </anchor>
              </controlPr>
            </control>
          </mc:Choice>
        </mc:AlternateContent>
        <mc:AlternateContent xmlns:mc="http://schemas.openxmlformats.org/markup-compatibility/2006">
          <mc:Choice Requires="x14">
            <control shapeId="1484" r:id="rId23" name="Drop Down 460">
              <controlPr locked="0" defaultSize="0" autoLine="0" autoPict="0">
                <anchor moveWithCells="1">
                  <from>
                    <xdr:col>4</xdr:col>
                    <xdr:colOff>809625</xdr:colOff>
                    <xdr:row>73</xdr:row>
                    <xdr:rowOff>38100</xdr:rowOff>
                  </from>
                  <to>
                    <xdr:col>5</xdr:col>
                    <xdr:colOff>790575</xdr:colOff>
                    <xdr:row>74</xdr:row>
                    <xdr:rowOff>28575</xdr:rowOff>
                  </to>
                </anchor>
              </controlPr>
            </control>
          </mc:Choice>
        </mc:AlternateContent>
        <mc:AlternateContent xmlns:mc="http://schemas.openxmlformats.org/markup-compatibility/2006">
          <mc:Choice Requires="x14">
            <control shapeId="1485" r:id="rId24" name="Drop Down 461">
              <controlPr locked="0" defaultSize="0" autoLine="0" autoPict="0">
                <anchor moveWithCells="1">
                  <from>
                    <xdr:col>4</xdr:col>
                    <xdr:colOff>809625</xdr:colOff>
                    <xdr:row>74</xdr:row>
                    <xdr:rowOff>47625</xdr:rowOff>
                  </from>
                  <to>
                    <xdr:col>5</xdr:col>
                    <xdr:colOff>790575</xdr:colOff>
                    <xdr:row>75</xdr:row>
                    <xdr:rowOff>38100</xdr:rowOff>
                  </to>
                </anchor>
              </controlPr>
            </control>
          </mc:Choice>
        </mc:AlternateContent>
        <mc:AlternateContent xmlns:mc="http://schemas.openxmlformats.org/markup-compatibility/2006">
          <mc:Choice Requires="x14">
            <control shapeId="1486" r:id="rId25" name="Drop Down 462">
              <controlPr locked="0" defaultSize="0" autoLine="0" autoPict="0">
                <anchor moveWithCells="1">
                  <from>
                    <xdr:col>5</xdr:col>
                    <xdr:colOff>1552575</xdr:colOff>
                    <xdr:row>80</xdr:row>
                    <xdr:rowOff>9525</xdr:rowOff>
                  </from>
                  <to>
                    <xdr:col>7</xdr:col>
                    <xdr:colOff>9525</xdr:colOff>
                    <xdr:row>81</xdr:row>
                    <xdr:rowOff>0</xdr:rowOff>
                  </to>
                </anchor>
              </controlPr>
            </control>
          </mc:Choice>
        </mc:AlternateContent>
        <mc:AlternateContent xmlns:mc="http://schemas.openxmlformats.org/markup-compatibility/2006">
          <mc:Choice Requires="x14">
            <control shapeId="1487" r:id="rId26" name="Drop Down 463">
              <controlPr locked="0" defaultSize="0" autoLine="0" autoPict="0">
                <anchor moveWithCells="1">
                  <from>
                    <xdr:col>5</xdr:col>
                    <xdr:colOff>1552575</xdr:colOff>
                    <xdr:row>81</xdr:row>
                    <xdr:rowOff>19050</xdr:rowOff>
                  </from>
                  <to>
                    <xdr:col>7</xdr:col>
                    <xdr:colOff>9525</xdr:colOff>
                    <xdr:row>82</xdr:row>
                    <xdr:rowOff>9525</xdr:rowOff>
                  </to>
                </anchor>
              </controlPr>
            </control>
          </mc:Choice>
        </mc:AlternateContent>
        <mc:AlternateContent xmlns:mc="http://schemas.openxmlformats.org/markup-compatibility/2006">
          <mc:Choice Requires="x14">
            <control shapeId="1488" r:id="rId27" name="Drop Down 464">
              <controlPr locked="0" defaultSize="0" autoLine="0" autoPict="0">
                <anchor moveWithCells="1">
                  <from>
                    <xdr:col>5</xdr:col>
                    <xdr:colOff>1552575</xdr:colOff>
                    <xdr:row>82</xdr:row>
                    <xdr:rowOff>38100</xdr:rowOff>
                  </from>
                  <to>
                    <xdr:col>7</xdr:col>
                    <xdr:colOff>9525</xdr:colOff>
                    <xdr:row>83</xdr:row>
                    <xdr:rowOff>28575</xdr:rowOff>
                  </to>
                </anchor>
              </controlPr>
            </control>
          </mc:Choice>
        </mc:AlternateContent>
        <mc:AlternateContent xmlns:mc="http://schemas.openxmlformats.org/markup-compatibility/2006">
          <mc:Choice Requires="x14">
            <control shapeId="1489" r:id="rId28" name="Drop Down 465">
              <controlPr locked="0" defaultSize="0" autoLine="0" autoPict="0">
                <anchor moveWithCells="1">
                  <from>
                    <xdr:col>3</xdr:col>
                    <xdr:colOff>828675</xdr:colOff>
                    <xdr:row>92</xdr:row>
                    <xdr:rowOff>9525</xdr:rowOff>
                  </from>
                  <to>
                    <xdr:col>5</xdr:col>
                    <xdr:colOff>438150</xdr:colOff>
                    <xdr:row>93</xdr:row>
                    <xdr:rowOff>9525</xdr:rowOff>
                  </to>
                </anchor>
              </controlPr>
            </control>
          </mc:Choice>
        </mc:AlternateContent>
        <mc:AlternateContent xmlns:mc="http://schemas.openxmlformats.org/markup-compatibility/2006">
          <mc:Choice Requires="x14">
            <control shapeId="1498" r:id="rId29" name="Drop Down 474">
              <controlPr locked="0" defaultSize="0" autoLine="0" autoPict="0">
                <anchor moveWithCells="1">
                  <from>
                    <xdr:col>2</xdr:col>
                    <xdr:colOff>676275</xdr:colOff>
                    <xdr:row>90</xdr:row>
                    <xdr:rowOff>19050</xdr:rowOff>
                  </from>
                  <to>
                    <xdr:col>3</xdr:col>
                    <xdr:colOff>876300</xdr:colOff>
                    <xdr:row>91</xdr:row>
                    <xdr:rowOff>9525</xdr:rowOff>
                  </to>
                </anchor>
              </controlPr>
            </control>
          </mc:Choice>
        </mc:AlternateContent>
        <mc:AlternateContent xmlns:mc="http://schemas.openxmlformats.org/markup-compatibility/2006">
          <mc:Choice Requires="x14">
            <control shapeId="1505" r:id="rId30" name="Drop Down 481">
              <controlPr locked="0" defaultSize="0" autoLine="0" autoPict="0">
                <anchor moveWithCells="1">
                  <from>
                    <xdr:col>4</xdr:col>
                    <xdr:colOff>38100</xdr:colOff>
                    <xdr:row>102</xdr:row>
                    <xdr:rowOff>28575</xdr:rowOff>
                  </from>
                  <to>
                    <xdr:col>5</xdr:col>
                    <xdr:colOff>1543050</xdr:colOff>
                    <xdr:row>103</xdr:row>
                    <xdr:rowOff>19050</xdr:rowOff>
                  </to>
                </anchor>
              </controlPr>
            </control>
          </mc:Choice>
        </mc:AlternateContent>
        <mc:AlternateContent xmlns:mc="http://schemas.openxmlformats.org/markup-compatibility/2006">
          <mc:Choice Requires="x14">
            <control shapeId="1506" r:id="rId31" name="Drop Down 482">
              <controlPr locked="0" defaultSize="0" autoLine="0" autoPict="0">
                <anchor moveWithCells="1">
                  <from>
                    <xdr:col>4</xdr:col>
                    <xdr:colOff>0</xdr:colOff>
                    <xdr:row>110</xdr:row>
                    <xdr:rowOff>9525</xdr:rowOff>
                  </from>
                  <to>
                    <xdr:col>6</xdr:col>
                    <xdr:colOff>219075</xdr:colOff>
                    <xdr:row>111</xdr:row>
                    <xdr:rowOff>9525</xdr:rowOff>
                  </to>
                </anchor>
              </controlPr>
            </control>
          </mc:Choice>
        </mc:AlternateContent>
        <mc:AlternateContent xmlns:mc="http://schemas.openxmlformats.org/markup-compatibility/2006">
          <mc:Choice Requires="x14">
            <control shapeId="1509" r:id="rId32" name="Drop Down 485">
              <controlPr locked="0" defaultSize="0" autoLine="0" autoPict="0">
                <anchor moveWithCells="1">
                  <from>
                    <xdr:col>4</xdr:col>
                    <xdr:colOff>0</xdr:colOff>
                    <xdr:row>120</xdr:row>
                    <xdr:rowOff>9525</xdr:rowOff>
                  </from>
                  <to>
                    <xdr:col>5</xdr:col>
                    <xdr:colOff>1495425</xdr:colOff>
                    <xdr:row>121</xdr:row>
                    <xdr:rowOff>9525</xdr:rowOff>
                  </to>
                </anchor>
              </controlPr>
            </control>
          </mc:Choice>
        </mc:AlternateContent>
        <mc:AlternateContent xmlns:mc="http://schemas.openxmlformats.org/markup-compatibility/2006">
          <mc:Choice Requires="x14">
            <control shapeId="1520" r:id="rId33" name="Option Button 496">
              <controlPr defaultSize="0" autoFill="0" autoLine="0" autoPict="0">
                <anchor moveWithCells="1">
                  <from>
                    <xdr:col>1</xdr:col>
                    <xdr:colOff>247650</xdr:colOff>
                    <xdr:row>137</xdr:row>
                    <xdr:rowOff>19050</xdr:rowOff>
                  </from>
                  <to>
                    <xdr:col>3</xdr:col>
                    <xdr:colOff>866775</xdr:colOff>
                    <xdr:row>138</xdr:row>
                    <xdr:rowOff>28575</xdr:rowOff>
                  </to>
                </anchor>
              </controlPr>
            </control>
          </mc:Choice>
        </mc:AlternateContent>
        <mc:AlternateContent xmlns:mc="http://schemas.openxmlformats.org/markup-compatibility/2006">
          <mc:Choice Requires="x14">
            <control shapeId="1521" r:id="rId34" name="Option Button 497">
              <controlPr defaultSize="0" autoFill="0" autoLine="0" autoPict="0">
                <anchor moveWithCells="1">
                  <from>
                    <xdr:col>1</xdr:col>
                    <xdr:colOff>247650</xdr:colOff>
                    <xdr:row>136</xdr:row>
                    <xdr:rowOff>19050</xdr:rowOff>
                  </from>
                  <to>
                    <xdr:col>3</xdr:col>
                    <xdr:colOff>1104900</xdr:colOff>
                    <xdr:row>137</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BC210"/>
  <sheetViews>
    <sheetView showGridLines="0" zoomScaleNormal="100" workbookViewId="0">
      <selection activeCell="E23" sqref="E23"/>
    </sheetView>
  </sheetViews>
  <sheetFormatPr baseColWidth="10" defaultRowHeight="14.25" x14ac:dyDescent="0.2"/>
  <cols>
    <col min="1" max="1" width="4.7109375" style="557" customWidth="1"/>
    <col min="2" max="2" width="5.140625" style="557" customWidth="1"/>
    <col min="3" max="3" width="24.85546875" style="557" customWidth="1"/>
    <col min="4" max="4" width="3.28515625" style="557" customWidth="1"/>
    <col min="5" max="5" width="15.7109375" style="557" customWidth="1"/>
    <col min="6" max="7" width="4.7109375" style="557" customWidth="1"/>
    <col min="8" max="8" width="1.7109375" style="557" customWidth="1"/>
    <col min="9" max="9" width="15.7109375" style="557" customWidth="1"/>
    <col min="10" max="11" width="4.7109375" style="557" customWidth="1"/>
    <col min="12" max="12" width="1.7109375" style="557" customWidth="1"/>
    <col min="13" max="13" width="15.7109375" style="557" customWidth="1"/>
    <col min="14" max="15" width="4.7109375" style="557" customWidth="1"/>
    <col min="16" max="16" width="1.7109375" style="582" customWidth="1"/>
    <col min="17" max="17" width="11.42578125" style="557" hidden="1" customWidth="1"/>
    <col min="18" max="18" width="26" style="557" hidden="1" customWidth="1"/>
    <col min="19" max="19" width="13.7109375" style="557" hidden="1" customWidth="1"/>
    <col min="20" max="20" width="10.7109375" style="557" hidden="1" customWidth="1"/>
    <col min="21" max="21" width="13.42578125" style="557" hidden="1" customWidth="1"/>
    <col min="22" max="23" width="10.140625" style="557" hidden="1" customWidth="1"/>
    <col min="24" max="24" width="9.7109375" style="557" hidden="1" customWidth="1"/>
    <col min="25" max="25" width="8.5703125" style="557" hidden="1" customWidth="1"/>
    <col min="26" max="30" width="7.85546875" style="557" hidden="1" customWidth="1"/>
    <col min="31" max="32" width="11.42578125" style="557" hidden="1" customWidth="1"/>
    <col min="33" max="33" width="14.85546875" style="557" hidden="1" customWidth="1"/>
    <col min="34" max="34" width="20.7109375" style="557" hidden="1" customWidth="1"/>
    <col min="35" max="35" width="16.42578125" style="557" hidden="1" customWidth="1"/>
    <col min="36" max="42" width="15.28515625" style="557" hidden="1" customWidth="1"/>
    <col min="43" max="43" width="33.7109375" style="557" customWidth="1"/>
    <col min="44" max="49" width="11.42578125" style="557" customWidth="1"/>
    <col min="50" max="16384" width="11.42578125" style="557"/>
  </cols>
  <sheetData>
    <row r="1" spans="1:53" customFormat="1" ht="42" customHeight="1" x14ac:dyDescent="0.3">
      <c r="A1" s="1019" t="s">
        <v>277</v>
      </c>
      <c r="B1" s="1197"/>
      <c r="C1" s="1197"/>
      <c r="D1" s="1197"/>
      <c r="E1" s="1197"/>
      <c r="F1" s="1197"/>
      <c r="G1" s="1197"/>
      <c r="H1" s="1197"/>
      <c r="I1" s="1197"/>
      <c r="J1" s="1197"/>
      <c r="K1" s="1197"/>
      <c r="L1" s="1197"/>
      <c r="M1" s="1197"/>
      <c r="N1" s="1197"/>
      <c r="O1" s="1197"/>
      <c r="P1" s="595"/>
      <c r="Q1" s="122"/>
      <c r="R1" s="843"/>
      <c r="S1" s="1157"/>
      <c r="T1" s="1157"/>
      <c r="U1" s="1157"/>
      <c r="V1" s="1157"/>
      <c r="W1" s="1157"/>
      <c r="X1" s="1157"/>
      <c r="Y1" s="1157"/>
    </row>
    <row r="2" spans="1:53" customFormat="1" ht="12" customHeight="1" x14ac:dyDescent="0.2">
      <c r="A2" s="423" t="str">
        <f>Erklärung!A2</f>
        <v>Version 3.2</v>
      </c>
      <c r="B2" s="424"/>
      <c r="C2" s="721"/>
      <c r="D2" s="721"/>
      <c r="E2" s="721"/>
      <c r="F2" s="721"/>
      <c r="G2" s="722"/>
      <c r="H2" s="827"/>
      <c r="I2" s="722"/>
      <c r="J2" s="766"/>
      <c r="K2" s="766"/>
      <c r="L2" s="766"/>
      <c r="M2" s="597" t="str">
        <f>Erklärung!D2</f>
        <v>Stand: August 2016</v>
      </c>
      <c r="N2" s="766"/>
      <c r="O2" s="766"/>
      <c r="P2" s="767"/>
      <c r="Q2" s="122"/>
      <c r="R2" s="117"/>
      <c r="S2" s="122"/>
      <c r="T2" s="122"/>
      <c r="U2" s="121"/>
      <c r="V2" s="121"/>
      <c r="W2" s="121"/>
    </row>
    <row r="3" spans="1:53" customFormat="1" ht="6" customHeight="1" x14ac:dyDescent="0.2">
      <c r="A3" s="437"/>
      <c r="B3" s="438"/>
      <c r="C3" s="555"/>
      <c r="D3" s="555"/>
      <c r="E3" s="555"/>
      <c r="F3" s="555"/>
      <c r="G3" s="555"/>
      <c r="H3" s="556"/>
      <c r="I3" s="188"/>
      <c r="J3" s="188"/>
      <c r="K3" s="188"/>
      <c r="L3" s="188"/>
      <c r="M3" s="188"/>
      <c r="N3" s="188"/>
      <c r="O3" s="314"/>
      <c r="P3" s="828"/>
      <c r="Q3" s="367"/>
      <c r="R3" s="395"/>
      <c r="S3" s="367"/>
      <c r="T3" s="367"/>
      <c r="U3" s="367"/>
      <c r="V3" s="367"/>
      <c r="W3" s="367"/>
      <c r="X3" s="367"/>
      <c r="Y3" s="367"/>
      <c r="Z3" s="367"/>
      <c r="AA3" s="367"/>
      <c r="AB3" s="367"/>
      <c r="AC3" s="367"/>
      <c r="AD3" s="367"/>
      <c r="AE3" s="367"/>
      <c r="AF3" s="367"/>
      <c r="AG3" s="367"/>
      <c r="AH3" s="367"/>
      <c r="AI3" s="367"/>
      <c r="AJ3" s="93"/>
      <c r="AK3" s="93"/>
      <c r="AL3" s="93"/>
      <c r="AM3" s="93"/>
      <c r="AN3" s="93"/>
      <c r="AO3" s="93"/>
      <c r="AP3" s="93"/>
      <c r="AQ3" s="93"/>
      <c r="AR3" s="93"/>
      <c r="AS3" s="93"/>
      <c r="AT3" s="93"/>
      <c r="AU3" s="93"/>
      <c r="AV3" s="93"/>
      <c r="AW3" s="93"/>
      <c r="AX3" s="93"/>
    </row>
    <row r="4" spans="1:53" customFormat="1" ht="16.5" customHeight="1" x14ac:dyDescent="0.2">
      <c r="A4" s="433" t="s">
        <v>228</v>
      </c>
      <c r="B4" s="434"/>
      <c r="C4" s="1093" t="str">
        <f>IF(Basisdaten!C10="","",Basisdaten!C10)</f>
        <v/>
      </c>
      <c r="D4" s="1093"/>
      <c r="E4" s="1093"/>
      <c r="F4" s="1093"/>
      <c r="G4" s="1093"/>
      <c r="H4" s="1093"/>
      <c r="I4" s="1093"/>
      <c r="J4" s="1093"/>
      <c r="K4" s="1093"/>
      <c r="L4" s="1093"/>
      <c r="M4" s="1093"/>
      <c r="N4" s="1093"/>
      <c r="O4" s="1093"/>
      <c r="P4" s="583"/>
      <c r="Q4" s="367"/>
      <c r="R4" s="395"/>
      <c r="S4" s="367"/>
      <c r="T4" s="367"/>
      <c r="U4" s="367"/>
      <c r="V4" s="557"/>
      <c r="W4" s="367"/>
      <c r="X4" s="367"/>
      <c r="Y4" s="367"/>
      <c r="Z4" s="367"/>
      <c r="AA4" s="367"/>
      <c r="AB4" s="367"/>
      <c r="AC4" s="367"/>
      <c r="AD4" s="367"/>
      <c r="AE4" s="367"/>
      <c r="AF4" s="367"/>
      <c r="AG4" s="367"/>
      <c r="AH4" s="367"/>
      <c r="AI4" s="367"/>
      <c r="AJ4" s="93"/>
      <c r="AK4" s="93"/>
      <c r="AL4" s="93"/>
      <c r="AM4" s="93"/>
      <c r="AN4" s="93"/>
      <c r="AO4" s="93"/>
      <c r="AP4" s="93"/>
      <c r="AQ4" s="93"/>
      <c r="AR4" s="93"/>
      <c r="AS4" s="93"/>
      <c r="AT4" s="93"/>
      <c r="AU4" s="93"/>
      <c r="AV4" s="93"/>
      <c r="AW4" s="93"/>
      <c r="AX4" s="93"/>
    </row>
    <row r="5" spans="1:53" customFormat="1" ht="16.5" customHeight="1" x14ac:dyDescent="0.2">
      <c r="A5" s="435" t="s">
        <v>229</v>
      </c>
      <c r="B5" s="436"/>
      <c r="C5" s="1198" t="str">
        <f>IF(Basisdaten!C11="","",Basisdaten!C11)</f>
        <v/>
      </c>
      <c r="D5" s="1198"/>
      <c r="E5" s="1198"/>
      <c r="F5" s="1198"/>
      <c r="G5" s="1198"/>
      <c r="H5" s="1198"/>
      <c r="I5" s="1198"/>
      <c r="J5" s="1198"/>
      <c r="K5" s="1198"/>
      <c r="L5" s="1198"/>
      <c r="M5" s="1198"/>
      <c r="N5" s="1198"/>
      <c r="O5" s="1198"/>
      <c r="P5" s="580"/>
      <c r="Q5" s="367"/>
      <c r="R5" s="395"/>
      <c r="S5" s="367"/>
      <c r="T5" s="367"/>
      <c r="U5" s="367"/>
      <c r="V5" s="557"/>
      <c r="W5" s="367"/>
      <c r="X5" s="367"/>
      <c r="Y5" s="367"/>
      <c r="Z5" s="367"/>
      <c r="AA5" s="367"/>
      <c r="AB5" s="367"/>
      <c r="AC5" s="367"/>
      <c r="AD5" s="367"/>
      <c r="AE5" s="367"/>
      <c r="AF5" s="367"/>
      <c r="AG5" s="367"/>
      <c r="AH5" s="367"/>
      <c r="AI5" s="367"/>
      <c r="AJ5" s="93"/>
      <c r="AK5" s="93"/>
      <c r="AL5" s="93"/>
      <c r="AM5" s="93"/>
      <c r="AN5" s="93"/>
      <c r="AO5" s="93"/>
      <c r="AP5" s="93"/>
      <c r="AQ5" s="93"/>
      <c r="AR5" s="93"/>
      <c r="AS5" s="93"/>
      <c r="AT5" s="93"/>
      <c r="AU5" s="93"/>
      <c r="AV5" s="93"/>
      <c r="AW5" s="93"/>
      <c r="AX5" s="93"/>
    </row>
    <row r="6" spans="1:53" customFormat="1" ht="16.5" customHeight="1" x14ac:dyDescent="0.2">
      <c r="A6" s="437"/>
      <c r="B6" s="438"/>
      <c r="C6" s="1198" t="str">
        <f>IF(Basisdaten!C12="","",Basisdaten!C12)</f>
        <v/>
      </c>
      <c r="D6" s="1198"/>
      <c r="E6" s="1198"/>
      <c r="F6" s="1198"/>
      <c r="G6" s="1198"/>
      <c r="H6" s="1198"/>
      <c r="I6" s="1198"/>
      <c r="J6" s="1198"/>
      <c r="K6" s="1198"/>
      <c r="L6" s="1198"/>
      <c r="M6" s="1198"/>
      <c r="N6" s="1198"/>
      <c r="O6" s="1198"/>
      <c r="P6" s="714"/>
      <c r="Q6" s="367"/>
      <c r="R6" s="395"/>
      <c r="S6" s="367"/>
      <c r="T6" s="367"/>
      <c r="U6" s="367"/>
      <c r="V6" s="557"/>
      <c r="W6" s="367"/>
      <c r="X6" s="367"/>
      <c r="Y6" s="367"/>
      <c r="Z6" s="367"/>
      <c r="AA6" s="367"/>
      <c r="AB6" s="367"/>
      <c r="AC6" s="367"/>
      <c r="AD6" s="367"/>
      <c r="AE6" s="367"/>
      <c r="AF6" s="367"/>
      <c r="AG6" s="367"/>
      <c r="AH6" s="367"/>
      <c r="AI6" s="367"/>
      <c r="AJ6" s="93"/>
      <c r="AK6" s="93"/>
      <c r="AL6" s="93"/>
      <c r="AM6" s="93"/>
      <c r="AN6" s="93"/>
      <c r="AO6" s="93"/>
      <c r="AP6" s="93"/>
      <c r="AQ6" s="93"/>
      <c r="AR6" s="93"/>
      <c r="AS6" s="93"/>
      <c r="AT6" s="93"/>
      <c r="AU6" s="93"/>
      <c r="AV6" s="93"/>
      <c r="AW6" s="93"/>
      <c r="AX6" s="93"/>
    </row>
    <row r="7" spans="1:53" customFormat="1" ht="6.75" customHeight="1" x14ac:dyDescent="0.2">
      <c r="A7" s="437"/>
      <c r="B7" s="438"/>
      <c r="C7" s="454"/>
      <c r="D7" s="454"/>
      <c r="E7" s="454"/>
      <c r="F7" s="454"/>
      <c r="G7" s="454"/>
      <c r="H7" s="836"/>
      <c r="I7" s="454"/>
      <c r="J7" s="454"/>
      <c r="K7" s="454"/>
      <c r="L7" s="454"/>
      <c r="M7" s="454"/>
      <c r="N7" s="454"/>
      <c r="O7" s="454"/>
      <c r="P7" s="837"/>
      <c r="Q7" s="367"/>
      <c r="R7" s="395"/>
      <c r="S7" s="367"/>
      <c r="T7" s="367"/>
      <c r="U7" s="367"/>
      <c r="V7" s="557"/>
      <c r="W7" s="367"/>
      <c r="X7" s="367"/>
      <c r="Y7" s="367"/>
      <c r="Z7" s="367"/>
      <c r="AA7" s="367"/>
      <c r="AB7" s="367"/>
      <c r="AC7" s="367"/>
      <c r="AD7" s="367"/>
      <c r="AE7" s="367"/>
      <c r="AF7" s="367"/>
      <c r="AG7" s="367"/>
      <c r="AH7" s="367"/>
      <c r="AI7" s="367"/>
      <c r="AJ7" s="93"/>
      <c r="AK7" s="93"/>
      <c r="AL7" s="93"/>
      <c r="AM7" s="93"/>
      <c r="AN7" s="93"/>
      <c r="AO7" s="93"/>
      <c r="AP7" s="93"/>
      <c r="AQ7" s="93"/>
      <c r="AR7" s="93"/>
      <c r="AS7" s="93"/>
      <c r="AT7" s="93"/>
      <c r="AU7" s="93"/>
      <c r="AV7" s="93"/>
      <c r="AW7" s="93"/>
      <c r="AX7" s="93"/>
    </row>
    <row r="8" spans="1:53" customFormat="1" ht="24" customHeight="1" x14ac:dyDescent="0.2">
      <c r="A8" s="835" t="s">
        <v>385</v>
      </c>
      <c r="B8" s="1104" t="s">
        <v>386</v>
      </c>
      <c r="C8" s="1105"/>
      <c r="D8" s="1105"/>
      <c r="E8" s="1105"/>
      <c r="F8" s="1105"/>
      <c r="G8" s="1105"/>
      <c r="H8" s="1105"/>
      <c r="I8" s="1105"/>
      <c r="J8" s="1105"/>
      <c r="K8" s="1105"/>
      <c r="L8" s="1105"/>
      <c r="M8" s="1105"/>
      <c r="N8" s="1105"/>
      <c r="O8" s="1105"/>
      <c r="P8" s="1106"/>
      <c r="Q8" s="367"/>
      <c r="R8" s="395"/>
      <c r="S8" s="367"/>
      <c r="T8" s="367"/>
      <c r="U8" s="367"/>
      <c r="V8" s="557"/>
      <c r="W8" s="367"/>
      <c r="X8" s="367"/>
      <c r="Y8" s="367"/>
      <c r="Z8" s="367"/>
      <c r="AA8" s="367"/>
      <c r="AB8" s="367"/>
      <c r="AC8" s="367"/>
      <c r="AD8" s="367"/>
      <c r="AE8" s="367"/>
      <c r="AF8" s="367"/>
      <c r="AG8" s="367"/>
      <c r="AH8" s="367"/>
      <c r="AI8" s="367"/>
      <c r="AJ8" s="93"/>
      <c r="AK8" s="93"/>
      <c r="AL8" s="93"/>
      <c r="AM8" s="93"/>
      <c r="AN8" s="93"/>
      <c r="AO8" s="93"/>
      <c r="AP8" s="93"/>
      <c r="AQ8" s="93"/>
      <c r="AR8" s="93"/>
      <c r="AS8" s="93"/>
      <c r="AT8" s="93"/>
      <c r="AU8" s="93"/>
      <c r="AV8" s="93"/>
      <c r="AW8" s="93"/>
      <c r="AX8" s="93"/>
    </row>
    <row r="9" spans="1:53" customFormat="1" ht="51" customHeight="1" x14ac:dyDescent="0.2">
      <c r="A9" s="1200" t="s">
        <v>377</v>
      </c>
      <c r="B9" s="1201"/>
      <c r="C9" s="1201"/>
      <c r="D9" s="1201"/>
      <c r="E9" s="1201"/>
      <c r="F9" s="1201"/>
      <c r="G9" s="1201"/>
      <c r="H9" s="1201"/>
      <c r="I9" s="1201"/>
      <c r="J9" s="1201"/>
      <c r="K9" s="1201"/>
      <c r="L9" s="1201"/>
      <c r="M9" s="1201"/>
      <c r="N9" s="1201"/>
      <c r="O9" s="1201"/>
      <c r="P9" s="1202"/>
      <c r="Q9" s="367"/>
      <c r="R9" s="395"/>
      <c r="S9" s="367"/>
      <c r="T9" s="367"/>
      <c r="U9" s="367"/>
      <c r="V9" s="557"/>
      <c r="W9" s="367"/>
      <c r="X9" s="367"/>
      <c r="Y9" s="367"/>
      <c r="Z9" s="367"/>
      <c r="AA9" s="367"/>
      <c r="AB9" s="367"/>
      <c r="AC9" s="367"/>
      <c r="AD9" s="367"/>
      <c r="AE9" s="367"/>
      <c r="AF9" s="367"/>
      <c r="AG9" s="367"/>
      <c r="AH9" s="367"/>
      <c r="AI9" s="367"/>
      <c r="AJ9" s="93"/>
      <c r="AK9" s="93"/>
      <c r="AL9" s="93"/>
      <c r="AM9" s="93"/>
      <c r="AN9" s="93"/>
      <c r="AO9" s="93"/>
      <c r="AP9" s="93"/>
      <c r="AQ9" s="93"/>
      <c r="AR9" s="93"/>
      <c r="AS9" s="93"/>
      <c r="AT9" s="93"/>
      <c r="AU9" s="93"/>
      <c r="AV9" s="93"/>
      <c r="AW9" s="93"/>
      <c r="AX9" s="93"/>
    </row>
    <row r="10" spans="1:53" customFormat="1" ht="6" customHeight="1" x14ac:dyDescent="0.2">
      <c r="A10" s="425"/>
      <c r="B10" s="426"/>
      <c r="C10" s="427"/>
      <c r="D10" s="427"/>
      <c r="E10" s="427"/>
      <c r="F10" s="427"/>
      <c r="G10" s="427"/>
      <c r="H10" s="841"/>
      <c r="I10" s="188"/>
      <c r="J10" s="188"/>
      <c r="K10" s="188"/>
      <c r="L10" s="188"/>
      <c r="M10" s="188"/>
      <c r="N10" s="188"/>
      <c r="O10" s="188"/>
      <c r="P10" s="842"/>
      <c r="Q10" s="367"/>
      <c r="R10" s="395"/>
      <c r="S10" s="367"/>
      <c r="T10" s="367"/>
      <c r="U10" s="367"/>
      <c r="V10" s="557"/>
      <c r="W10" s="367"/>
      <c r="X10" s="367"/>
      <c r="Y10" s="367"/>
      <c r="Z10" s="367"/>
      <c r="AA10" s="367"/>
      <c r="AB10" s="367"/>
      <c r="AC10" s="367"/>
      <c r="AD10" s="367"/>
      <c r="AE10" s="367"/>
      <c r="AF10" s="367"/>
      <c r="AG10" s="367"/>
      <c r="AH10" s="367"/>
      <c r="AI10" s="367"/>
      <c r="AJ10" s="93"/>
      <c r="AK10" s="93"/>
      <c r="AL10" s="93"/>
      <c r="AM10" s="93"/>
      <c r="AN10" s="93"/>
      <c r="AO10" s="93"/>
      <c r="AP10" s="93"/>
      <c r="AQ10" s="93"/>
      <c r="AR10" s="93"/>
      <c r="AS10" s="93"/>
      <c r="AT10" s="93"/>
      <c r="AU10" s="93"/>
      <c r="AV10" s="93"/>
      <c r="AW10" s="93"/>
      <c r="AX10" s="93"/>
    </row>
    <row r="11" spans="1:53" ht="18" customHeight="1" x14ac:dyDescent="0.2">
      <c r="A11" s="558">
        <v>1</v>
      </c>
      <c r="B11" s="1186" t="s">
        <v>171</v>
      </c>
      <c r="C11" s="1187"/>
      <c r="D11" s="1187"/>
      <c r="E11" s="1187"/>
      <c r="F11" s="1187"/>
      <c r="G11" s="1187"/>
      <c r="H11" s="1187"/>
      <c r="I11" s="1187"/>
      <c r="J11" s="1187"/>
      <c r="K11" s="1187"/>
      <c r="L11" s="1187"/>
      <c r="M11" s="1187"/>
      <c r="N11" s="1187"/>
      <c r="O11" s="1187"/>
      <c r="P11" s="1188"/>
      <c r="R11" s="582"/>
      <c r="V11" s="559" t="s">
        <v>278</v>
      </c>
    </row>
    <row r="12" spans="1:53" ht="6.75" customHeight="1" x14ac:dyDescent="0.2">
      <c r="A12" s="560"/>
      <c r="B12" s="561"/>
      <c r="C12" s="561"/>
      <c r="D12" s="561"/>
      <c r="E12" s="561"/>
      <c r="F12" s="561"/>
      <c r="G12" s="768"/>
      <c r="H12" s="768"/>
      <c r="I12" s="768"/>
      <c r="J12" s="768"/>
      <c r="K12" s="768"/>
      <c r="L12" s="768"/>
      <c r="M12" s="768"/>
      <c r="N12" s="768"/>
      <c r="O12" s="768"/>
      <c r="P12" s="769"/>
      <c r="R12" s="582"/>
      <c r="V12" s="562" t="s">
        <v>279</v>
      </c>
    </row>
    <row r="13" spans="1:53" s="565" customFormat="1" ht="16.5" customHeight="1" x14ac:dyDescent="0.2">
      <c r="A13" s="596"/>
      <c r="B13" s="598"/>
      <c r="C13" s="600" t="s">
        <v>87</v>
      </c>
      <c r="D13" s="1205">
        <f>Basisdaten!D29</f>
        <v>0</v>
      </c>
      <c r="E13" s="1206"/>
      <c r="F13" s="564"/>
      <c r="G13" s="1199"/>
      <c r="H13" s="1199"/>
      <c r="I13" s="1199"/>
      <c r="J13" s="1199"/>
      <c r="K13" s="1199"/>
      <c r="L13" s="1199"/>
      <c r="M13" s="770"/>
      <c r="N13" s="771"/>
      <c r="O13" s="771"/>
      <c r="P13" s="772"/>
      <c r="R13" s="581"/>
      <c r="V13" s="562" t="s">
        <v>280</v>
      </c>
    </row>
    <row r="14" spans="1:53" s="565" customFormat="1" ht="16.5" customHeight="1" x14ac:dyDescent="0.2">
      <c r="A14" s="563"/>
      <c r="B14" s="564"/>
      <c r="C14" s="600" t="s">
        <v>387</v>
      </c>
      <c r="D14" s="1211">
        <f>Basisdaten!D33</f>
        <v>0</v>
      </c>
      <c r="E14" s="1212"/>
      <c r="F14" s="564"/>
      <c r="G14" s="1210"/>
      <c r="H14" s="1210"/>
      <c r="I14" s="1210"/>
      <c r="J14" s="1210"/>
      <c r="K14" s="1210"/>
      <c r="L14" s="1210"/>
      <c r="M14" s="601"/>
      <c r="N14" s="768"/>
      <c r="O14" s="768"/>
      <c r="P14" s="772"/>
      <c r="R14" s="581"/>
      <c r="T14" s="825"/>
      <c r="V14" s="562" t="s">
        <v>281</v>
      </c>
    </row>
    <row r="15" spans="1:53" s="565" customFormat="1" ht="16.5" customHeight="1" x14ac:dyDescent="0.2">
      <c r="A15" s="563"/>
      <c r="B15" s="564"/>
      <c r="C15" s="600" t="s">
        <v>168</v>
      </c>
      <c r="D15" s="1203">
        <v>12.8</v>
      </c>
      <c r="E15" s="1204"/>
      <c r="F15" s="917"/>
      <c r="G15" s="564"/>
      <c r="H15" s="564"/>
      <c r="I15" s="564"/>
      <c r="J15" s="564"/>
      <c r="K15" s="564"/>
      <c r="L15" s="564"/>
      <c r="M15" s="601"/>
      <c r="N15" s="768"/>
      <c r="O15" s="768"/>
      <c r="P15" s="772"/>
      <c r="R15" s="581"/>
      <c r="AQ15" s="581"/>
      <c r="AR15" s="581"/>
      <c r="AS15" s="581"/>
      <c r="AT15" s="581"/>
      <c r="AU15" s="581"/>
      <c r="AV15" s="581"/>
      <c r="AW15" s="581"/>
      <c r="AX15" s="581"/>
      <c r="AY15" s="581"/>
      <c r="AZ15" s="581"/>
      <c r="BA15" s="581"/>
    </row>
    <row r="16" spans="1:53" s="565" customFormat="1" ht="7.5" customHeight="1" x14ac:dyDescent="0.2">
      <c r="A16" s="563"/>
      <c r="B16" s="564"/>
      <c r="C16" s="564"/>
      <c r="D16" s="564"/>
      <c r="E16" s="564"/>
      <c r="F16" s="564"/>
      <c r="G16" s="564"/>
      <c r="H16" s="564"/>
      <c r="I16" s="564"/>
      <c r="J16" s="564"/>
      <c r="K16" s="564"/>
      <c r="L16" s="564"/>
      <c r="M16" s="773"/>
      <c r="N16" s="773"/>
      <c r="O16" s="773"/>
      <c r="P16" s="772"/>
      <c r="T16" s="565" t="str">
        <f>IF(OR(Basisdaten!K58,Basisdaten!L58,Basisdaten!M58=TRUE),"wahr","falsch")</f>
        <v>falsch</v>
      </c>
      <c r="V16" s="562" t="s">
        <v>282</v>
      </c>
      <c r="AD16" s="602"/>
      <c r="AE16" s="602"/>
      <c r="AF16" s="602"/>
      <c r="AG16" s="581"/>
      <c r="AQ16" s="906"/>
      <c r="AR16" s="906"/>
      <c r="AS16" s="906"/>
      <c r="AT16" s="906"/>
      <c r="AU16" s="906"/>
      <c r="AV16" s="906"/>
      <c r="AW16" s="906"/>
      <c r="AX16" s="906"/>
      <c r="AY16" s="581"/>
      <c r="AZ16" s="581"/>
      <c r="BA16" s="581"/>
    </row>
    <row r="17" spans="1:53" ht="18" customHeight="1" x14ac:dyDescent="0.2">
      <c r="A17" s="558">
        <v>2</v>
      </c>
      <c r="B17" s="1186" t="s">
        <v>283</v>
      </c>
      <c r="C17" s="1187"/>
      <c r="D17" s="1187"/>
      <c r="E17" s="1187"/>
      <c r="F17" s="1187"/>
      <c r="G17" s="1187"/>
      <c r="H17" s="1187"/>
      <c r="I17" s="1187"/>
      <c r="J17" s="1187"/>
      <c r="K17" s="1187"/>
      <c r="L17" s="1187"/>
      <c r="M17" s="1187"/>
      <c r="N17" s="1187"/>
      <c r="O17" s="1187"/>
      <c r="P17" s="1188"/>
      <c r="AH17" s="557" t="s">
        <v>380</v>
      </c>
      <c r="AQ17" s="764"/>
      <c r="AR17" s="764"/>
      <c r="AS17" s="764"/>
      <c r="AT17" s="764"/>
      <c r="AU17" s="764"/>
      <c r="AV17" s="764"/>
      <c r="AW17" s="764"/>
      <c r="AX17" s="764"/>
      <c r="AY17" s="582"/>
      <c r="AZ17" s="582"/>
      <c r="BA17" s="582"/>
    </row>
    <row r="18" spans="1:53" ht="6.75" customHeight="1" x14ac:dyDescent="0.2">
      <c r="A18" s="563"/>
      <c r="B18" s="564"/>
      <c r="C18" s="564"/>
      <c r="D18" s="564"/>
      <c r="E18" s="564"/>
      <c r="F18" s="564"/>
      <c r="G18" s="564"/>
      <c r="H18" s="564"/>
      <c r="I18" s="564"/>
      <c r="J18" s="564"/>
      <c r="K18" s="564"/>
      <c r="L18" s="564"/>
      <c r="M18" s="564"/>
      <c r="N18" s="564"/>
      <c r="O18" s="561"/>
      <c r="P18" s="584"/>
      <c r="R18" s="582"/>
      <c r="T18" s="826">
        <v>1</v>
      </c>
      <c r="U18" s="557" t="str">
        <f>IF(T18=2,AH21,IF(T18=3,AH22,IF(T18=4,AH23,IF(T18=5,AH24,IF(T18=6,AH25,IF(T18=7,AH26,IF(T18=8,AH27,IF(T18=9,AH28,IF(T18=10,AH29,IF(T18=11,AH30,IF(T18=12,AH31,IF(T18=13,AH32,""))))))))))))</f>
        <v/>
      </c>
      <c r="X18" s="826">
        <v>1</v>
      </c>
      <c r="Y18" s="557" t="str">
        <f>IF(X18=2,AH21,IF(X18=3,AH22,IF(X18=4,AH23,IF(X18=5,AH24,IF(X18=6,AH25,IF(X18=7,AH26,IF(X18=8,AH27,IF(X18=9,AH28,IF(X18=10,AH29,IF(X18=11,AH30,IF(X18=12,AH31,IF(X18=13,AH32,""))))))))))))</f>
        <v/>
      </c>
      <c r="AB18" s="826">
        <v>1</v>
      </c>
      <c r="AC18" s="557" t="str">
        <f>IF(AB18=2,AH21,IF(AB18=3,AH22,IF(AB18=4,AH23,IF(AB18=5,AH24,IF(AB18=6,AH25,IF(AB18=7,AH26,IF(AB18=8,AH27,IF(AB18=9,AH28,IF(AB18=10,AH29,IF(AB18=11,AH30,IF(AB18=12,AH31,IF(AB18=13,AH32,""))))))))))))</f>
        <v/>
      </c>
      <c r="AH18" s="606"/>
      <c r="AI18" s="606"/>
      <c r="AJ18" s="606"/>
      <c r="AK18" s="606"/>
      <c r="AL18" s="606"/>
      <c r="AM18" s="606"/>
      <c r="AN18" s="606"/>
      <c r="AO18" s="606"/>
      <c r="AP18" s="606" t="s">
        <v>412</v>
      </c>
      <c r="AQ18" s="764"/>
      <c r="AR18" s="764" t="s">
        <v>422</v>
      </c>
      <c r="AS18" s="764"/>
      <c r="AT18" s="764"/>
      <c r="AU18" s="764"/>
      <c r="AV18" s="764"/>
      <c r="AW18" s="764"/>
      <c r="AX18" s="764"/>
      <c r="AY18" s="582"/>
      <c r="AZ18" s="582"/>
      <c r="BA18" s="582"/>
    </row>
    <row r="19" spans="1:53" ht="16.5" customHeight="1" x14ac:dyDescent="0.25">
      <c r="A19" s="603" t="s">
        <v>284</v>
      </c>
      <c r="B19" s="598"/>
      <c r="C19" s="598"/>
      <c r="D19" s="564"/>
      <c r="E19" s="564"/>
      <c r="F19" s="564"/>
      <c r="G19" s="564"/>
      <c r="H19" s="564"/>
      <c r="I19" s="564"/>
      <c r="J19" s="564"/>
      <c r="K19" s="564"/>
      <c r="L19" s="564"/>
      <c r="M19" s="564"/>
      <c r="N19" s="564"/>
      <c r="O19" s="564"/>
      <c r="P19" s="585"/>
      <c r="Q19" s="564"/>
      <c r="R19" s="582"/>
      <c r="T19" s="566" t="s">
        <v>285</v>
      </c>
      <c r="AG19" t="s">
        <v>334</v>
      </c>
      <c r="AH19" s="607" t="s">
        <v>335</v>
      </c>
      <c r="AI19" s="608" t="s">
        <v>336</v>
      </c>
      <c r="AJ19" t="s">
        <v>337</v>
      </c>
      <c r="AK19" t="s">
        <v>338</v>
      </c>
      <c r="AL19" t="s">
        <v>339</v>
      </c>
      <c r="AM19" t="s">
        <v>340</v>
      </c>
      <c r="AN19" t="s">
        <v>341</v>
      </c>
      <c r="AO19"/>
      <c r="AP19" t="s">
        <v>411</v>
      </c>
      <c r="AQ19" s="764"/>
      <c r="AR19" s="764" t="s">
        <v>420</v>
      </c>
      <c r="AS19" s="764"/>
      <c r="AT19" s="764"/>
      <c r="AU19" s="764"/>
      <c r="AV19" s="764"/>
      <c r="AW19" s="764"/>
      <c r="AX19" s="764"/>
      <c r="AY19" s="582"/>
      <c r="AZ19" s="582"/>
      <c r="BA19" s="582"/>
    </row>
    <row r="20" spans="1:53" ht="9.75" customHeight="1" x14ac:dyDescent="0.25">
      <c r="A20" s="596"/>
      <c r="B20" s="598"/>
      <c r="C20" s="598"/>
      <c r="D20" s="564"/>
      <c r="E20" s="564"/>
      <c r="F20" s="564"/>
      <c r="G20" s="564"/>
      <c r="H20" s="564"/>
      <c r="I20" s="564"/>
      <c r="J20" s="564"/>
      <c r="K20" s="564"/>
      <c r="L20" s="564"/>
      <c r="M20" s="564"/>
      <c r="N20" s="564"/>
      <c r="O20" s="564"/>
      <c r="P20" s="585"/>
      <c r="R20" s="582"/>
      <c r="T20" s="567"/>
      <c r="U20" s="567"/>
      <c r="V20" s="567"/>
      <c r="AG20">
        <v>1</v>
      </c>
      <c r="AH20" s="607"/>
      <c r="AI20" s="608"/>
      <c r="AJ20"/>
      <c r="AK20"/>
      <c r="AL20"/>
      <c r="AM20"/>
      <c r="AN20"/>
      <c r="AO20" t="s">
        <v>342</v>
      </c>
      <c r="AP20"/>
      <c r="AQ20" s="907"/>
      <c r="AR20" s="764"/>
      <c r="AS20" s="764"/>
      <c r="AT20" s="764"/>
      <c r="AU20" s="764"/>
      <c r="AV20" s="764"/>
      <c r="AW20" s="764"/>
      <c r="AX20" s="764"/>
      <c r="AY20" s="582"/>
      <c r="AZ20" s="582"/>
      <c r="BA20" s="582"/>
    </row>
    <row r="21" spans="1:53" ht="16.5" customHeight="1" x14ac:dyDescent="0.2">
      <c r="A21" s="603" t="s">
        <v>286</v>
      </c>
      <c r="B21" s="598"/>
      <c r="C21" s="598"/>
      <c r="D21" s="564"/>
      <c r="E21" s="613" t="s">
        <v>352</v>
      </c>
      <c r="F21" s="613" t="s">
        <v>287</v>
      </c>
      <c r="G21" s="613" t="s">
        <v>288</v>
      </c>
      <c r="H21" s="598"/>
      <c r="I21" s="613" t="s">
        <v>352</v>
      </c>
      <c r="J21" s="613" t="s">
        <v>287</v>
      </c>
      <c r="K21" s="613" t="s">
        <v>288</v>
      </c>
      <c r="L21" s="598"/>
      <c r="M21" s="613" t="s">
        <v>352</v>
      </c>
      <c r="N21" s="613" t="s">
        <v>287</v>
      </c>
      <c r="O21" s="613" t="s">
        <v>288</v>
      </c>
      <c r="P21" s="774"/>
      <c r="R21" s="582"/>
      <c r="T21" s="568" t="s">
        <v>289</v>
      </c>
      <c r="U21" s="568" t="s">
        <v>290</v>
      </c>
      <c r="V21" s="568" t="s">
        <v>291</v>
      </c>
      <c r="W21" s="569"/>
      <c r="X21" s="568" t="s">
        <v>289</v>
      </c>
      <c r="Y21" s="568" t="s">
        <v>290</v>
      </c>
      <c r="Z21" s="568" t="s">
        <v>291</v>
      </c>
      <c r="AA21" s="569"/>
      <c r="AB21" s="568" t="s">
        <v>289</v>
      </c>
      <c r="AC21" s="568" t="s">
        <v>290</v>
      </c>
      <c r="AD21" s="568" t="s">
        <v>291</v>
      </c>
      <c r="AG21">
        <v>2</v>
      </c>
      <c r="AH21" t="s">
        <v>343</v>
      </c>
      <c r="AI21">
        <v>15</v>
      </c>
      <c r="AJ21" s="609">
        <v>0.02</v>
      </c>
      <c r="AK21">
        <v>0.9</v>
      </c>
      <c r="AL21">
        <v>9.5000000000000001E-2</v>
      </c>
      <c r="AM21">
        <v>4.3999999999999997E-2</v>
      </c>
      <c r="AN21" s="610">
        <v>8.0008078170825003E-2</v>
      </c>
      <c r="AO21">
        <f>AM21*(1+AN21)^10</f>
        <v>9.4999805371540819E-2</v>
      </c>
      <c r="AP21">
        <v>311</v>
      </c>
      <c r="AQ21" s="907" t="s">
        <v>447</v>
      </c>
      <c r="AR21" s="908">
        <v>3.32E-2</v>
      </c>
      <c r="AS21" s="764" t="s">
        <v>429</v>
      </c>
      <c r="AT21" s="764"/>
      <c r="AU21" s="764"/>
      <c r="AV21" s="764"/>
      <c r="AW21" s="764"/>
      <c r="AX21" s="764"/>
      <c r="AY21" s="582"/>
      <c r="AZ21" s="582"/>
      <c r="BA21" s="582"/>
    </row>
    <row r="22" spans="1:53" ht="16.5" customHeight="1" x14ac:dyDescent="0.25">
      <c r="A22" s="596" t="s">
        <v>292</v>
      </c>
      <c r="B22" s="598"/>
      <c r="C22" s="598"/>
      <c r="D22" s="564"/>
      <c r="E22" s="614"/>
      <c r="F22" s="615" t="str">
        <f>IF(T18=1,"",VLOOKUP(T18,$AG$21:$AK$36,3,FALSE))</f>
        <v/>
      </c>
      <c r="G22" s="616" t="str">
        <f>IF(T18=1,"",$E$104)</f>
        <v/>
      </c>
      <c r="H22" s="598"/>
      <c r="I22" s="617"/>
      <c r="J22" s="615" t="str">
        <f>IF(X18=1,"",VLOOKUP(X18,$AG$21:$AK$36,3,FALSE))</f>
        <v/>
      </c>
      <c r="K22" s="616" t="str">
        <f>IF(X18=1,"",$E$104)</f>
        <v/>
      </c>
      <c r="L22" s="598"/>
      <c r="M22" s="617"/>
      <c r="N22" s="615" t="str">
        <f>IF(AB18=1,"",VLOOKUP(AB18,$AG$21:$AK$36,3,FALSE))</f>
        <v/>
      </c>
      <c r="O22" s="616" t="str">
        <f>IF(AB18=1,"",$E$104)</f>
        <v/>
      </c>
      <c r="P22" s="775"/>
      <c r="R22" s="582"/>
      <c r="T22" s="570">
        <f>IF(E22="",0,E22)</f>
        <v>0</v>
      </c>
      <c r="U22" s="570">
        <f>IF(E22="",0,IF(F22&gt;=$E$105,0,E22*IF($E$105/F22&gt;1,((1+G22)/(1+$E$103))^F22,0)*(1+IF($E$105/F22&gt;2,((1+G22)/(1+$E$103))^F22,0)*(1+IF($E$105/F22&gt;3,((1+G22)/(1+$E$103))^F22,0)*(1+IF($E$105/F22&gt;4,((1+G22)/(1+$E$103))^F22,0)*(1+IF($E$105/F22&gt;5,((1+G22)/(1+$E$103))^F22,0)*(1+IF($E$105/F22&gt;6,((1+G22)/(1+$E$103))^F22,0))))))))</f>
        <v>0</v>
      </c>
      <c r="V22" s="570">
        <f>IF(E22="",0,IF(F22&lt;=$E$105,0,(E22*((1+G22)/(1+$E$103))^$E$105/F22)*(F22-$E$105))+IF(OR(ROUNDDOWN($E$105/F22,0)=($E$105/F22),F22&gt;=$E$105),0,E22*((1+G22)/(1+$E$103))^$E$105/F22*(F22*(1+ROUNDDOWN($E$105/F22,0))-$E$105)))</f>
        <v>0</v>
      </c>
      <c r="X22" s="570">
        <f>IF(I22="",0,I22)</f>
        <v>0</v>
      </c>
      <c r="Y22" s="570">
        <f>IF(I22="",0,IF(J22&gt;=$E$105,0,I22*IF($E$105/J22&gt;1,((1+K22)/(1+$E$103))^J22,0)*(1+IF($E$105/J22&gt;2,((1+K22)/(1+$E$103))^J22,0)*(1+IF($E$105/J22&gt;3,((1+K22)/(1+$E$103))^J22,0)*(1+IF($E$105/J22&gt;4,((1+K22)/(1+$E$103))^J22,0)*(1+IF($E$105/J22&gt;5,((1+K22)/(1+$E$103))^J22,0)*(1+IF($E$105/J22&gt;6,((1+K22)/(1+$E$103))^J22,0))))))))</f>
        <v>0</v>
      </c>
      <c r="Z22" s="570">
        <f>IF(I22="",0,IF(J22&lt;=$E$105,0,(I22*((1+K22)/(1+$E$103))^$E$105/J22)*(J22-$E$105))+IF(OR(ROUNDDOWN($E$105/J22,0)=($E$105/J22),J22&gt;=$E$105),0,I22*((1+K22)/(1+$E$103))^$E$105/J22*(J22*(1+ROUNDDOWN($E$105/J22,0))-$E$105)))</f>
        <v>0</v>
      </c>
      <c r="AB22" s="570">
        <f>IF(M22="",0,M22)</f>
        <v>0</v>
      </c>
      <c r="AC22" s="570">
        <f>IF(M22="",0,IF(N22&gt;=$E$105,0,M22*IF($E$105/N22&gt;1,((1+O22)/(1+$E$103))^N22,0)*(1+IF($E$105/N22&gt;2,((1+O22)/(1+$E$103))^N22,0)*(1+IF($E$105/N22&gt;3,((1+O22)/(1+$E$103))^N22,0)*(1+IF($E$105/N22&gt;4,((1+O22)/(1+$E$103))^N22,0)*(1+IF($E$105/N22&gt;5,((1+O22)/(1+$E$103))^N22,0)*(1+IF($E$105/N22&gt;6,((1+O22)/(1+$E$103))^N22,0))))))))</f>
        <v>0</v>
      </c>
      <c r="AD22" s="570">
        <f>IF(M22="",0,IF(N22&lt;=$E$105,0,(M22*((1+O22)/(1+$E$103))^$E$105/N22)*(N22-$E$105))+IF(OR(ROUNDDOWN($E$105/N22,0)=($E$105/N22),N22&gt;=$E$105),0,M22*((1+O22)/(1+$E$103))^$E$105/N22*(N22*(1+ROUNDDOWN($E$105/N22,0))-$E$105)))</f>
        <v>0</v>
      </c>
      <c r="AG22">
        <v>3</v>
      </c>
      <c r="AH22" t="s">
        <v>344</v>
      </c>
      <c r="AI22" s="611">
        <v>20</v>
      </c>
      <c r="AJ22" s="609">
        <v>0.02</v>
      </c>
      <c r="AK22" s="611">
        <v>0.91</v>
      </c>
      <c r="AL22" s="611">
        <v>6.9000000000000006E-2</v>
      </c>
      <c r="AM22" s="611">
        <v>4.2999999999999997E-2</v>
      </c>
      <c r="AN22" s="610">
        <v>4.8426010846334237E-2</v>
      </c>
      <c r="AO22">
        <f t="shared" ref="AO22:AO29" si="0">AM22*(1+AN22)^10</f>
        <v>6.8999560684857186E-2</v>
      </c>
      <c r="AP22" s="611">
        <v>236</v>
      </c>
      <c r="AQ22" s="907" t="s">
        <v>448</v>
      </c>
      <c r="AR22" s="908">
        <v>2.2800000000000001E-2</v>
      </c>
      <c r="AS22" s="764" t="s">
        <v>430</v>
      </c>
      <c r="AT22" s="764"/>
      <c r="AU22" s="764"/>
      <c r="AV22" s="764"/>
      <c r="AW22" s="764"/>
      <c r="AX22" s="764"/>
      <c r="AY22" s="582"/>
      <c r="AZ22" s="582"/>
      <c r="BA22" s="582"/>
    </row>
    <row r="23" spans="1:53" ht="16.5" customHeight="1" x14ac:dyDescent="0.2">
      <c r="A23" s="596" t="s">
        <v>293</v>
      </c>
      <c r="B23" s="598"/>
      <c r="C23" s="598"/>
      <c r="D23" s="564"/>
      <c r="E23" s="618"/>
      <c r="F23" s="615" t="str">
        <f>IF(T18=1,"",VLOOKUP($A$23,$AH$21:$AK$36,2,FALSE))</f>
        <v/>
      </c>
      <c r="G23" s="616" t="str">
        <f>IF(T18=1,"",$E$104)</f>
        <v/>
      </c>
      <c r="H23" s="598"/>
      <c r="I23" s="617"/>
      <c r="J23" s="615" t="str">
        <f>IF(X18=1,"",VLOOKUP($A$23,$AH$21:$AK$36,2,FALSE))</f>
        <v/>
      </c>
      <c r="K23" s="616" t="str">
        <f>IF(X18=1,"",$E$104)</f>
        <v/>
      </c>
      <c r="L23" s="598"/>
      <c r="M23" s="617"/>
      <c r="N23" s="615" t="str">
        <f>IF(AB18=1,"",VLOOKUP($A$23,$AH$21:$AK$36,2,FALSE))</f>
        <v/>
      </c>
      <c r="O23" s="616" t="str">
        <f>IF(AB18=1,"",$E$104)</f>
        <v/>
      </c>
      <c r="P23" s="775"/>
      <c r="R23" s="582"/>
      <c r="T23" s="570">
        <f>IF(E23="",0,E23)</f>
        <v>0</v>
      </c>
      <c r="U23" s="570">
        <f>IF(E23="",0,IF(F23&gt;=$E$105,0,E23*IF($E$105/F23&gt;1,((1+G23)/(1+$E$103))^F23,0)*(1+IF($E$105/F23&gt;2,((1+G23)/(1+$E$103))^F23,0)*(1+IF($E$105/F23&gt;3,((1+G23)/(1+$E$103))^F23,0)*(1+IF($E$105/F23&gt;4,((1+G23)/(1+$E$103))^F23,0)*(1+IF($E$105/F23&gt;5,((1+G23)/(1+$E$103))^F23,0)*(1+IF($E$105/F23&gt;6,((1+G23)/(1+$E$103))^F23,0)*(1+IF($E$105/F23&gt;7,((1+G23)/(1+$E$103))^F23,0)*(1+IF($E$105/F23&gt;8,((1+G23)/(1+$E$103))^F23,0)*(1+IF($E$105/F23&gt;9,((1+G23)/(1+$E$103))^F23,0)*(1+IF($E$105/F23&gt;10,((1+G23)/(1+$E$103))^F23,0))))))))))))</f>
        <v>0</v>
      </c>
      <c r="V23" s="570">
        <f>IF(E23="",0,IF(F23&lt;=$E$105,0,(E23*((1+G23)/(1+$E$103))^$E$105/F23)*(F23-$E$105))+IF(OR(ROUNDDOWN($E$105/F23,0)=($E$105/F23),F23&gt;=$E$105),0,E23*((1+G23)/(1+$E$103))^$E$105/F23*(F23*(1+ROUNDDOWN($E$105/F23,0))-$E$105)))</f>
        <v>0</v>
      </c>
      <c r="X23" s="570">
        <f>IF(I23="",0,I23)</f>
        <v>0</v>
      </c>
      <c r="Y23" s="570">
        <f>IF(I23="",0,IF(J23&gt;=$E$105,0,I23*IF($E$105/J23&gt;1,((1+K23)/(1+$E$103))^J23,0)*(1+IF($E$105/J23&gt;2,((1+K23)/(1+$E$103))^J23,0)*(1+IF($E$105/J23&gt;3,((1+K23)/(1+$E$103))^J23,0)*(1+IF($E$105/J23&gt;4,((1+K23)/(1+$E$103))^J23,0)*(1+IF($E$105/J23&gt;5,((1+K23)/(1+$E$103))^J23,0)*(1+IF($E$105/J23&gt;6,((1+K23)/(1+$E$103))^J23,0)*(1+IF($E$105/J23&gt;7,((1+K23)/(1+$E$103))^J23,0)*(1+IF($E$105/J23&gt;8,((1+K23)/(1+$E$103))^J23,0)*(1+IF($E$105/J23&gt;9,((1+K23)/(1+$E$103))^J23,0)*(1+IF($E$105/J23&gt;10,((1+K23)/(1+$E$103))^J23,0))))))))))))</f>
        <v>0</v>
      </c>
      <c r="Z23" s="570">
        <f>IF(I23="",0,IF(J23&lt;=$E$105,0,(I23*((1+K23)/(1+$E$103))^$E$105/J23)*(J23-$E$105))+IF(OR(ROUNDDOWN($E$105/J23,0)=($E$105/J23),J23&gt;=$E$105),0,I23*((1+K23)/(1+$E$103))^$E$105/J23*(J23*(1+ROUNDDOWN($E$105/J23,0))-$E$105)))</f>
        <v>0</v>
      </c>
      <c r="AB23" s="570">
        <f>IF(M23="",0,M23)</f>
        <v>0</v>
      </c>
      <c r="AC23" s="570">
        <f>IF(M23="",0,IF(N23&gt;=$E$105,0,M23*IF($E$105/N23&gt;1,((1+O23)/(1+$E$103))^N23,0)*(1+IF($E$105/N23&gt;2,((1+O23)/(1+$E$103))^N23,0)*(1+IF($E$105/N23&gt;3,((1+O23)/(1+$E$103))^N23,0)*(1+IF($E$105/N23&gt;4,((1+O23)/(1+$E$103))^N23,0)*(1+IF($E$105/N23&gt;5,((1+O23)/(1+$E$103))^N23,0)*(1+IF($E$105/N23&gt;6,((1+O23)/(1+$E$103))^N23,0)*(1+IF($E$105/N23&gt;7,((1+O23)/(1+$E$103))^N23,0)*(1+IF($E$105/N23&gt;8,((1+O23)/(1+$E$103))^N23,0)*(1+IF($E$105/N23&gt;9,((1+O23)/(1+$E$103))^N23,0)*(1+IF($E$105/N23&gt;10,((1+O23)/(1+$E$103))^N23,0))))))))))))</f>
        <v>0</v>
      </c>
      <c r="AD23" s="570">
        <f>IF(M23="",0,IF(N23&lt;=$E$105,0,(M23*((1+O23)/(1+$E$103))^$E$105/N23)*(N23-$E$105))+IF(OR(ROUNDDOWN($E$105/N23,0)=($E$105/N23),N23&gt;=$E$105),0,M23*((1+O23)/(1+$E$103))^$E$105/N23*(N23*(1+ROUNDDOWN($E$105/N23,0))-$E$105)))</f>
        <v>0</v>
      </c>
      <c r="AG23">
        <v>4</v>
      </c>
      <c r="AH23" t="s">
        <v>345</v>
      </c>
      <c r="AI23">
        <v>15</v>
      </c>
      <c r="AJ23" s="609">
        <v>0.01</v>
      </c>
      <c r="AK23">
        <v>3.5</v>
      </c>
      <c r="AL23">
        <v>0.16</v>
      </c>
      <c r="AM23">
        <v>0.13100000000000001</v>
      </c>
      <c r="AN23" s="610">
        <v>2.0198663948406297E-2</v>
      </c>
      <c r="AO23">
        <f t="shared" si="0"/>
        <v>0.15999956432834384</v>
      </c>
      <c r="AP23">
        <v>276</v>
      </c>
      <c r="AQ23" s="907" t="s">
        <v>449</v>
      </c>
      <c r="AR23" s="908">
        <v>6.2899999999999998E-2</v>
      </c>
      <c r="AS23" s="764" t="s">
        <v>431</v>
      </c>
      <c r="AT23" s="764"/>
      <c r="AU23" s="764"/>
      <c r="AV23" s="764"/>
      <c r="AW23" s="764"/>
      <c r="AX23" s="764"/>
      <c r="AY23" s="582"/>
      <c r="AZ23" s="582"/>
      <c r="BA23" s="582"/>
    </row>
    <row r="24" spans="1:53" ht="16.5" customHeight="1" x14ac:dyDescent="0.2">
      <c r="A24" s="1161" t="s">
        <v>373</v>
      </c>
      <c r="B24" s="1162"/>
      <c r="C24" s="1163"/>
      <c r="D24" s="564"/>
      <c r="E24" s="617"/>
      <c r="F24" s="619"/>
      <c r="G24" s="620"/>
      <c r="H24" s="598"/>
      <c r="I24" s="621"/>
      <c r="J24" s="619"/>
      <c r="K24" s="620"/>
      <c r="L24" s="598"/>
      <c r="M24" s="621"/>
      <c r="N24" s="619"/>
      <c r="O24" s="620"/>
      <c r="P24" s="776"/>
      <c r="R24" s="582"/>
      <c r="T24" s="570">
        <f>IF(E24="",0,E24)</f>
        <v>0</v>
      </c>
      <c r="U24" s="570">
        <f>IF(E24="",0,IF(F24&gt;=$E$105,0,E24*IF($E$105/F24&gt;1,((1+G24)/(1+$E$103))^F24,0)*(1+IF($E$105/F24&gt;2,((1+G24)/(1+$E$103))^F24,0)*(1+IF($E$105/F24&gt;3,((1+G24)/(1+$E$103))^F24,0)*(1+IF($E$105/F24&gt;4,((1+G24)/(1+$E$103))^F24,0)*(1+IF($E$105/F24&gt;5,((1+G24)/(1+$E$103))^F24,0)*(1+IF($E$105/F24&gt;6,((1+G24)/(1+$E$103))^F24,0)*(1+IF($E$105/F24&gt;7,((1+G24)/(1+$E$103))^F24,0)*(1+IF($E$105/F24&gt;8,((1+G24)/(1+$E$103))^F24,0)*(1+IF($E$105/F24&gt;9,((1+G24)/(1+$E$103))^F24,0)*(1+IF($E$105/F24&gt;10,((1+G24)/(1+$E$103))^F24,0))))))))))))</f>
        <v>0</v>
      </c>
      <c r="V24" s="570">
        <f>IF(E24="",0,IF(F24&lt;=$E$105,0,(E24*((1+G24)/(1+$E$103))^$E$105/F24)*(F24-$E$105))+IF(OR(ROUNDDOWN($E$105/F24,0)=($E$105/F24),F24&gt;=$E$105),0,E24*((1+G24)/(1+$E$103))^$E$105/F24*(F24*(1+ROUNDDOWN($E$105/F24,0))-$E$105)))</f>
        <v>0</v>
      </c>
      <c r="X24" s="570">
        <f>IF(I24="",0,I24)</f>
        <v>0</v>
      </c>
      <c r="Y24" s="570">
        <f>IF(I24="",0,IF(J24&gt;=$E$105,0,I24*IF($E$105/J24&gt;1,((1+K24)/(1+$E$103))^J24,0)*(1+IF($E$105/J24&gt;2,((1+K24)/(1+$E$103))^J24,0)*(1+IF($E$105/J24&gt;3,((1+K24)/(1+$E$103))^J24,0)*(1+IF($E$105/J24&gt;4,((1+K24)/(1+$E$103))^J24,0)*(1+IF($E$105/J24&gt;5,((1+K24)/(1+$E$103))^J24,0)*(1+IF($E$105/J24&gt;6,((1+K24)/(1+$E$103))^J24,0)*(1+IF($E$105/J24&gt;7,((1+K24)/(1+$E$103))^J24,0)*(1+IF($E$105/J24&gt;8,((1+K24)/(1+$E$103))^J24,0)*(1+IF($E$105/J24&gt;9,((1+K24)/(1+$E$103))^J24,0)*(1+IF($E$105/J24&gt;10,((1+K24)/(1+$E$103))^J24,0))))))))))))</f>
        <v>0</v>
      </c>
      <c r="Z24" s="570">
        <f>IF(I24="",0,IF(J24&lt;=$E$105,0,(I24*((1+K24)/(1+$E$103))^$E$105/J24)*(J24-$E$105))+IF(OR(ROUNDDOWN($E$105/J24,0)=($E$105/J24),J24&gt;=$E$105),0,I24*((1+K24)/(1+$E$103))^$E$105/J24*(J24*(1+ROUNDDOWN($E$105/J24,0))-$E$105)))</f>
        <v>0</v>
      </c>
      <c r="AB24" s="570">
        <f>IF(M24="",0,M24)</f>
        <v>0</v>
      </c>
      <c r="AC24" s="570">
        <f>IF(M24="",0,IF(N24&gt;=$E$105,0,M24*IF($E$105/N24&gt;1,((1+O24)/(1+$E$103))^N24,0)*(1+IF($E$105/N24&gt;2,((1+O24)/(1+$E$103))^N24,0)*(1+IF($E$105/N24&gt;3,((1+O24)/(1+$E$103))^N24,0)*(1+IF($E$105/N24&gt;4,((1+O24)/(1+$E$103))^N24,0)*(1+IF($E$105/N24&gt;5,((1+O24)/(1+$E$103))^N24,0)*(1+IF($E$105/N24&gt;6,((1+O24)/(1+$E$103))^N24,0)*(1+IF($E$105/N24&gt;7,((1+O24)/(1+$E$103))^N24,0)*(1+IF($E$105/N24&gt;8,((1+O24)/(1+$E$103))^N24,0)*(1+IF($E$105/N24&gt;9,((1+O24)/(1+$E$103))^N24,0)*(1+IF($E$105/N24&gt;10,((1+O24)/(1+$E$103))^N24,0))))))))))))</f>
        <v>0</v>
      </c>
      <c r="AD24" s="570">
        <f>IF(M24="",0,IF(N24&lt;=$E$105,0,(M24*((1+O24)/(1+$E$103))^$E$105/N24)*(N24-$E$105))+IF(OR(ROUNDDOWN($E$105/N24,0)=($E$105/N24),N24&gt;=$E$105),0,M24*((1+O24)/(1+$E$103))^$E$105/N24*(N24*(1+ROUNDDOWN($E$105/N24,0))-$E$105)))</f>
        <v>0</v>
      </c>
      <c r="AG24">
        <v>5</v>
      </c>
      <c r="AH24" t="s">
        <v>181</v>
      </c>
      <c r="AI24">
        <v>15</v>
      </c>
      <c r="AJ24" s="609">
        <v>0.01</v>
      </c>
      <c r="AK24">
        <v>3.3</v>
      </c>
      <c r="AL24">
        <v>0.16</v>
      </c>
      <c r="AM24">
        <v>0.13100000000000001</v>
      </c>
      <c r="AN24" s="610">
        <f>AN23</f>
        <v>2.0198663948406297E-2</v>
      </c>
      <c r="AO24">
        <f t="shared" si="0"/>
        <v>0.15999956432834384</v>
      </c>
      <c r="AP24">
        <v>276</v>
      </c>
      <c r="AQ24" s="907" t="s">
        <v>450</v>
      </c>
      <c r="AR24" s="908">
        <v>6.2899999999999998E-2</v>
      </c>
      <c r="AS24" s="764" t="s">
        <v>432</v>
      </c>
      <c r="AT24" s="764"/>
      <c r="AU24" s="764"/>
      <c r="AV24" s="764"/>
      <c r="AW24" s="764"/>
      <c r="AX24" s="764"/>
      <c r="AY24" s="582"/>
      <c r="AZ24" s="582"/>
      <c r="BA24" s="582"/>
    </row>
    <row r="25" spans="1:53" ht="16.5" customHeight="1" x14ac:dyDescent="0.2">
      <c r="A25" s="1161" t="s">
        <v>373</v>
      </c>
      <c r="B25" s="1162"/>
      <c r="C25" s="1163"/>
      <c r="D25" s="564"/>
      <c r="E25" s="617"/>
      <c r="F25" s="622"/>
      <c r="G25" s="623"/>
      <c r="H25" s="598"/>
      <c r="I25" s="617"/>
      <c r="J25" s="622"/>
      <c r="K25" s="623"/>
      <c r="L25" s="598"/>
      <c r="M25" s="617"/>
      <c r="N25" s="622"/>
      <c r="O25" s="623"/>
      <c r="P25" s="776"/>
      <c r="R25" s="582"/>
      <c r="T25" s="570">
        <f>IF(E25="",0,E25)</f>
        <v>0</v>
      </c>
      <c r="U25" s="570">
        <f>IF(E25="",0,IF(F25&gt;=$E$105,0,E25*IF($E$105/F25&gt;1,((1+G25)/(1+$E$103))^F25,0)*(1+IF($E$105/F25&gt;2,((1+G25)/(1+$E$103))^F25,0)*(1+IF($E$105/F25&gt;3,((1+G25)/(1+$E$103))^F25,0)*(1+IF($E$105/F25&gt;4,((1+G25)/(1+$E$103))^F25,0)*(1+IF($E$105/F25&gt;5,((1+G25)/(1+$E$103))^F25,0)*(1+IF($E$105/F25&gt;6,((1+G25)/(1+$E$103))^F25,0)*(1+IF($E$105/F25&gt;7,((1+G25)/(1+$E$103))^F25,0)*(1+IF($E$105/F25&gt;8,((1+G25)/(1+$E$103))^F25,0)*(1+IF($E$105/F25&gt;9,((1+G25)/(1+$E$103))^F25,0)*(1+IF($E$105/F25&gt;10,((1+G25)/(1+$E$103))^F25,0))))))))))))</f>
        <v>0</v>
      </c>
      <c r="V25" s="570">
        <f>IF(E25="",0,IF(F25&lt;=$E$105,0,(E25*((1+G25)/(1+$E$103))^$E$105/F25)*(F25-$E$105))+IF(OR(ROUNDDOWN($E$105/F25,0)=($E$105/F25),F25&gt;=$E$105),0,E25*((1+G25)/(1+$E$103))^$E$105/F25*(F25*(1+ROUNDDOWN($E$105/F25,0))-$E$105)))</f>
        <v>0</v>
      </c>
      <c r="X25" s="570">
        <f>IF(I25="",0,I25)</f>
        <v>0</v>
      </c>
      <c r="Y25" s="570">
        <f>IF(I25="",0,IF(J25&gt;=$E$105,0,I25*IF($E$105/J25&gt;1,((1+K25)/(1+$E$103))^J25,0)*(1+IF($E$105/J25&gt;2,((1+K25)/(1+$E$103))^J25,0)*(1+IF($E$105/J25&gt;3,((1+K25)/(1+$E$103))^J25,0)*(1+IF($E$105/J25&gt;4,((1+K25)/(1+$E$103))^J25,0)*(1+IF($E$105/J25&gt;5,((1+K25)/(1+$E$103))^J25,0)*(1+IF($E$105/J25&gt;6,((1+K25)/(1+$E$103))^J25,0)*(1+IF($E$105/J25&gt;7,((1+K25)/(1+$E$103))^J25,0)*(1+IF($E$105/J25&gt;8,((1+K25)/(1+$E$103))^J25,0)*(1+IF($E$105/J25&gt;9,((1+K25)/(1+$E$103))^J25,0)*(1+IF($E$105/J25&gt;10,((1+K25)/(1+$E$103))^J25,0))))))))))))</f>
        <v>0</v>
      </c>
      <c r="Z25" s="570">
        <f>IF(I25="",0,IF(J25&lt;=$E$105,0,(I25*((1+K25)/(1+$E$103))^$E$105/J25)*(J25-$E$105))+IF(OR(ROUNDDOWN($E$105/J25,0)=($E$105/J25),J25&gt;=$E$105),0,I25*((1+K25)/(1+$E$103))^$E$105/J25*(J25*(1+ROUNDDOWN($E$105/J25,0))-$E$105)))</f>
        <v>0</v>
      </c>
      <c r="AB25" s="570">
        <f>IF(M25="",0,M25)</f>
        <v>0</v>
      </c>
      <c r="AC25" s="570">
        <f>IF(M25="",0,IF(N25&gt;=$E$105,0,M25*IF($E$105/N25&gt;1,((1+O25)/(1+$E$103))^N25,0)*(1+IF($E$105/N25&gt;2,((1+O25)/(1+$E$103))^N25,0)*(1+IF($E$105/N25&gt;3,((1+O25)/(1+$E$103))^N25,0)*(1+IF($E$105/N25&gt;4,((1+O25)/(1+$E$103))^N25,0)*(1+IF($E$105/N25&gt;5,((1+O25)/(1+$E$103))^N25,0)*(1+IF($E$105/N25&gt;6,((1+O25)/(1+$E$103))^N25,0)*(1+IF($E$105/N25&gt;7,((1+O25)/(1+$E$103))^N25,0)*(1+IF($E$105/N25&gt;8,((1+O25)/(1+$E$103))^N25,0)*(1+IF($E$105/N25&gt;9,((1+O25)/(1+$E$103))^N25,0)*(1+IF($E$105/N25&gt;10,((1+O25)/(1+$E$103))^N25,0))))))))))))</f>
        <v>0</v>
      </c>
      <c r="AD25" s="570">
        <f>IF(M25="",0,IF(N25&lt;=$E$105,0,(M25*((1+O25)/(1+$E$103))^$E$105/N25)*(N25-$E$105))+IF(OR(ROUNDDOWN($E$105/N25,0)=($E$105/N25),N25&gt;=$E$105),0,M25*((1+O25)/(1+$E$103))^$E$105/N25*(N25*(1+ROUNDDOWN($E$105/N25,0))-$E$105)))</f>
        <v>0</v>
      </c>
      <c r="AG25">
        <v>6</v>
      </c>
      <c r="AH25" t="s">
        <v>182</v>
      </c>
      <c r="AI25">
        <v>15</v>
      </c>
      <c r="AJ25" s="609">
        <v>0.01</v>
      </c>
      <c r="AK25">
        <v>2.7</v>
      </c>
      <c r="AL25">
        <v>0.16</v>
      </c>
      <c r="AM25">
        <v>0.13100000000000001</v>
      </c>
      <c r="AN25" s="610">
        <f>AN24</f>
        <v>2.0198663948406297E-2</v>
      </c>
      <c r="AO25">
        <f t="shared" si="0"/>
        <v>0.15999956432834384</v>
      </c>
      <c r="AP25">
        <v>276</v>
      </c>
      <c r="AQ25" s="907" t="s">
        <v>451</v>
      </c>
      <c r="AR25" s="908">
        <v>6.2899999999999998E-2</v>
      </c>
      <c r="AS25" s="764" t="s">
        <v>433</v>
      </c>
      <c r="AT25" s="764"/>
      <c r="AU25" s="764"/>
      <c r="AV25" s="764"/>
      <c r="AW25" s="764"/>
      <c r="AX25" s="764"/>
      <c r="AY25" s="582"/>
      <c r="AZ25" s="582"/>
      <c r="BA25" s="582"/>
    </row>
    <row r="26" spans="1:53" ht="16.5" customHeight="1" x14ac:dyDescent="0.2">
      <c r="A26" s="1161" t="s">
        <v>374</v>
      </c>
      <c r="B26" s="1162"/>
      <c r="C26" s="1163"/>
      <c r="D26" s="564"/>
      <c r="E26" s="617"/>
      <c r="F26" s="622"/>
      <c r="G26" s="623"/>
      <c r="H26" s="598"/>
      <c r="I26" s="617"/>
      <c r="J26" s="622"/>
      <c r="K26" s="623"/>
      <c r="L26" s="598"/>
      <c r="M26" s="617"/>
      <c r="N26" s="622"/>
      <c r="O26" s="623"/>
      <c r="P26" s="776"/>
      <c r="R26" s="582"/>
      <c r="T26" s="570">
        <f>IF(E26="",0,E26)</f>
        <v>0</v>
      </c>
      <c r="U26" s="570">
        <f>IF(E26="",0,IF(F26&gt;=$E$105,0,E26*IF($E$105/F26&gt;1,((1+G26)/(1+$E$103))^F26,0)*(1+IF($E$105/F26&gt;2,((1+G26)/(1+$E$103))^F26,0)*(1+IF($E$105/F26&gt;3,((1+G26)/(1+$E$103))^F26,0)*(1+IF($E$105/F26&gt;4,((1+G26)/(1+$E$103))^F26,0)*(1+IF($E$105/F26&gt;5,((1+G26)/(1+$E$103))^F26,0)*(1+IF($E$105/F26&gt;6,((1+G26)/(1+$E$103))^F26,0)*(1+IF($E$105/F26&gt;7,((1+G26)/(1+$E$103))^F26,0)*(1+IF($E$105/F26&gt;8,((1+G26)/(1+$E$103))^F26,0)*(1+IF($E$105/F26&gt;9,((1+G26)/(1+$E$103))^F26,0)*(1+IF($E$105/F26&gt;10,((1+G26)/(1+$E$103))^F26,0))))))))))))</f>
        <v>0</v>
      </c>
      <c r="V26" s="570">
        <f>IF(E26="",0,IF(F26&lt;=$E$105,0,(E26*((1+G26)/(1+$E$103))^$E$105/F26)*(F26-$E$105))+IF(OR(ROUNDDOWN($E$105/F26,0)=($E$105/F26),F26&gt;=$E$105),0,E26*((1+G26)/(1+$E$103))^$E$105/F26*(F26*(1+ROUNDDOWN($E$105/F26,0))-$E$105)))</f>
        <v>0</v>
      </c>
      <c r="X26" s="570">
        <f>IF(I26="",0,I26)</f>
        <v>0</v>
      </c>
      <c r="Y26" s="570">
        <f>IF(I26="",0,IF(J26&gt;=$E$105,0,I26*IF($E$105/J26&gt;1,((1+K26)/(1+$E$103))^J26,0)*(1+IF($E$105/J26&gt;2,((1+K26)/(1+$E$103))^J26,0)*(1+IF($E$105/J26&gt;3,((1+K26)/(1+$E$103))^J26,0)*(1+IF($E$105/J26&gt;4,((1+K26)/(1+$E$103))^J26,0)*(1+IF($E$105/J26&gt;5,((1+K26)/(1+$E$103))^J26,0)*(1+IF($E$105/J26&gt;6,((1+K26)/(1+$E$103))^J26,0)*(1+IF($E$105/J26&gt;7,((1+K26)/(1+$E$103))^J26,0)*(1+IF($E$105/J26&gt;8,((1+K26)/(1+$E$103))^J26,0)*(1+IF($E$105/J26&gt;9,((1+K26)/(1+$E$103))^J26,0)*(1+IF($E$105/J26&gt;10,((1+K26)/(1+$E$103))^J26,0))))))))))))</f>
        <v>0</v>
      </c>
      <c r="Z26" s="570">
        <f>IF(I26="",0,IF(J26&lt;=$E$105,0,(I26*((1+K26)/(1+$E$103))^$E$105/J26)*(J26-$E$105))+IF(OR(ROUNDDOWN($E$105/J26,0)=($E$105/J26),J26&gt;=$E$105),0,I26*((1+K26)/(1+$E$103))^$E$105/J26*(J26*(1+ROUNDDOWN($E$105/J26,0))-$E$105)))</f>
        <v>0</v>
      </c>
      <c r="AB26" s="570">
        <f>IF(M26="",0,M26)</f>
        <v>0</v>
      </c>
      <c r="AC26" s="570">
        <f>IF(M26="",0,IF(N26&gt;=$E$105,0,M26*IF($E$105/N26&gt;1,((1+O26)/(1+$E$103))^N26,0)*(1+IF($E$105/N26&gt;2,((1+O26)/(1+$E$103))^N26,0)*(1+IF($E$105/N26&gt;3,((1+O26)/(1+$E$103))^N26,0)*(1+IF($E$105/N26&gt;4,((1+O26)/(1+$E$103))^N26,0)*(1+IF($E$105/N26&gt;5,((1+O26)/(1+$E$103))^N26,0)*(1+IF($E$105/N26&gt;6,((1+O26)/(1+$E$103))^N26,0)*(1+IF($E$105/N26&gt;7,((1+O26)/(1+$E$103))^N26,0)*(1+IF($E$105/N26&gt;8,((1+O26)/(1+$E$103))^N26,0)*(1+IF($E$105/N26&gt;9,((1+O26)/(1+$E$103))^N26,0)*(1+IF($E$105/N26&gt;10,((1+O26)/(1+$E$103))^N26,0))))))))))))</f>
        <v>0</v>
      </c>
      <c r="AD26" s="570">
        <f>IF(M26="",0,IF(N26&lt;=$E$105,0,(M26*((1+O26)/(1+$E$103))^$E$105/N26)*(N26-$E$105))+IF(OR(ROUNDDOWN($E$105/N26,0)=($E$105/N26),N26&gt;=$E$105),0,M26*((1+O26)/(1+$E$103))^$E$105/N26*(N26*(1+ROUNDDOWN($E$105/N26,0))-$E$105)))</f>
        <v>0</v>
      </c>
      <c r="AG26">
        <v>7</v>
      </c>
      <c r="AH26" t="s">
        <v>177</v>
      </c>
      <c r="AI26">
        <v>15</v>
      </c>
      <c r="AJ26" s="609">
        <v>3.5000000000000003E-2</v>
      </c>
      <c r="AK26">
        <v>0.82</v>
      </c>
      <c r="AL26">
        <v>4.7E-2</v>
      </c>
      <c r="AM26">
        <v>2.3E-2</v>
      </c>
      <c r="AN26" s="610">
        <v>7.4080182580448864E-2</v>
      </c>
      <c r="AO26">
        <f t="shared" si="0"/>
        <v>4.6999676931549161E-2</v>
      </c>
      <c r="AP26">
        <v>4</v>
      </c>
      <c r="AQ26" s="907" t="s">
        <v>452</v>
      </c>
      <c r="AR26" s="908">
        <v>1.8800000000000001E-2</v>
      </c>
      <c r="AS26" s="764" t="s">
        <v>434</v>
      </c>
      <c r="AT26" s="764"/>
      <c r="AU26" s="764"/>
      <c r="AV26" s="764"/>
      <c r="AW26" s="764"/>
      <c r="AX26" s="764"/>
      <c r="AY26" s="582"/>
      <c r="AZ26" s="582"/>
      <c r="BA26" s="582"/>
    </row>
    <row r="27" spans="1:53" ht="6" customHeight="1" x14ac:dyDescent="0.2">
      <c r="A27" s="596"/>
      <c r="B27" s="598"/>
      <c r="C27" s="598"/>
      <c r="D27" s="564"/>
      <c r="E27" s="598"/>
      <c r="F27" s="598"/>
      <c r="G27" s="598"/>
      <c r="H27" s="598"/>
      <c r="I27" s="598"/>
      <c r="J27" s="598"/>
      <c r="K27" s="598"/>
      <c r="L27" s="598"/>
      <c r="M27" s="598"/>
      <c r="N27" s="598"/>
      <c r="O27" s="598"/>
      <c r="P27" s="772"/>
      <c r="R27" s="582"/>
      <c r="T27" s="571">
        <f>SUM(T22:T26)</f>
        <v>0</v>
      </c>
      <c r="U27" s="571">
        <f>SUM(U22:U26)</f>
        <v>0</v>
      </c>
      <c r="V27" s="571">
        <f>SUM(V22:V26)</f>
        <v>0</v>
      </c>
      <c r="X27" s="571">
        <f>SUM(X22:X26)</f>
        <v>0</v>
      </c>
      <c r="Y27" s="571">
        <f>SUM(Y22:Y26)</f>
        <v>0</v>
      </c>
      <c r="Z27" s="571">
        <f>SUM(Z22:Z26)</f>
        <v>0</v>
      </c>
      <c r="AB27" s="571">
        <f>SUM(AB22:AB26)</f>
        <v>0</v>
      </c>
      <c r="AC27" s="571">
        <f>SUM(AC22:AC26)</f>
        <v>0</v>
      </c>
      <c r="AD27" s="571">
        <f>SUM(AD22:AD26)</f>
        <v>0</v>
      </c>
      <c r="AG27">
        <v>8</v>
      </c>
      <c r="AH27" t="s">
        <v>346</v>
      </c>
      <c r="AI27">
        <v>15</v>
      </c>
      <c r="AJ27" s="609">
        <v>3.5000000000000003E-2</v>
      </c>
      <c r="AK27">
        <v>0.8</v>
      </c>
      <c r="AL27">
        <v>5.1999999999999998E-2</v>
      </c>
      <c r="AM27">
        <v>2.7E-2</v>
      </c>
      <c r="AN27" s="610">
        <v>6.773442378162331E-2</v>
      </c>
      <c r="AO27">
        <f t="shared" si="0"/>
        <v>5.1999145899953393E-2</v>
      </c>
      <c r="AP27">
        <v>4</v>
      </c>
      <c r="AQ27" s="907" t="s">
        <v>453</v>
      </c>
      <c r="AR27" s="908">
        <v>1.8800000000000001E-2</v>
      </c>
      <c r="AS27" s="764" t="s">
        <v>435</v>
      </c>
      <c r="AT27" s="764"/>
      <c r="AU27" s="764"/>
      <c r="AV27" s="764"/>
      <c r="AW27" s="764"/>
      <c r="AX27" s="764"/>
      <c r="AY27" s="582"/>
      <c r="AZ27" s="582"/>
      <c r="BA27" s="582"/>
    </row>
    <row r="28" spans="1:53" ht="16.5" customHeight="1" x14ac:dyDescent="0.25">
      <c r="A28" s="603" t="s">
        <v>294</v>
      </c>
      <c r="B28" s="598"/>
      <c r="C28" s="598"/>
      <c r="D28" s="564"/>
      <c r="E28" s="1207"/>
      <c r="F28" s="1208"/>
      <c r="G28" s="1209"/>
      <c r="H28" s="598"/>
      <c r="I28" s="1207"/>
      <c r="J28" s="1208"/>
      <c r="K28" s="1209"/>
      <c r="L28" s="598"/>
      <c r="M28" s="1207"/>
      <c r="N28" s="1208"/>
      <c r="O28" s="1209"/>
      <c r="P28" s="777"/>
      <c r="R28" s="582"/>
      <c r="T28" s="567"/>
      <c r="U28" s="567"/>
      <c r="V28" s="567"/>
      <c r="AG28">
        <v>9</v>
      </c>
      <c r="AH28" t="s">
        <v>233</v>
      </c>
      <c r="AI28" s="611">
        <v>20</v>
      </c>
      <c r="AJ28" s="612">
        <v>0.02</v>
      </c>
      <c r="AK28">
        <v>0.85</v>
      </c>
      <c r="AL28" s="611">
        <v>5.5E-2</v>
      </c>
      <c r="AM28">
        <v>3.5999999999999997E-2</v>
      </c>
      <c r="AN28" s="610">
        <v>4.329082040953932E-2</v>
      </c>
      <c r="AO28">
        <f t="shared" si="0"/>
        <v>5.499919874648837E-2</v>
      </c>
      <c r="AP28">
        <v>4</v>
      </c>
      <c r="AQ28" s="907" t="s">
        <v>454</v>
      </c>
      <c r="AR28" s="908">
        <v>1.8800000000000001E-2</v>
      </c>
      <c r="AS28" s="764" t="s">
        <v>436</v>
      </c>
      <c r="AT28" s="764"/>
      <c r="AU28" s="764"/>
      <c r="AV28" s="764"/>
      <c r="AW28" s="764"/>
      <c r="AX28" s="764"/>
      <c r="AY28" s="582"/>
      <c r="AZ28" s="582"/>
      <c r="BA28" s="582"/>
    </row>
    <row r="29" spans="1:53" ht="4.5" customHeight="1" x14ac:dyDescent="0.2">
      <c r="A29" s="596"/>
      <c r="B29" s="598"/>
      <c r="C29" s="598"/>
      <c r="D29" s="564"/>
      <c r="E29" s="598"/>
      <c r="F29" s="598"/>
      <c r="G29" s="598"/>
      <c r="H29" s="598"/>
      <c r="I29" s="624"/>
      <c r="J29" s="624"/>
      <c r="K29" s="624"/>
      <c r="L29" s="598"/>
      <c r="M29" s="624"/>
      <c r="N29" s="624"/>
      <c r="O29" s="624"/>
      <c r="P29" s="586"/>
      <c r="R29" s="582"/>
      <c r="T29" s="567"/>
      <c r="U29" s="567"/>
      <c r="V29" s="567"/>
      <c r="AG29">
        <v>10</v>
      </c>
      <c r="AH29" t="s">
        <v>347</v>
      </c>
      <c r="AI29">
        <v>15</v>
      </c>
      <c r="AJ29" s="609">
        <v>0.02</v>
      </c>
      <c r="AK29">
        <v>0.94</v>
      </c>
      <c r="AL29">
        <v>0.109</v>
      </c>
      <c r="AM29">
        <v>6.4000000000000001E-2</v>
      </c>
      <c r="AN29" s="610">
        <v>5.4688736648177333E-2</v>
      </c>
      <c r="AO29">
        <f t="shared" si="0"/>
        <v>0.1089991358044</v>
      </c>
      <c r="AP29">
        <v>236</v>
      </c>
      <c r="AQ29" s="907" t="s">
        <v>455</v>
      </c>
      <c r="AR29" s="908">
        <v>2.2800000000000001E-2</v>
      </c>
      <c r="AS29" s="764" t="s">
        <v>437</v>
      </c>
      <c r="AT29" s="764"/>
      <c r="AU29" s="764"/>
      <c r="AV29" s="764"/>
      <c r="AW29" s="764"/>
      <c r="AX29" s="764"/>
      <c r="AY29" s="582"/>
      <c r="AZ29" s="582"/>
      <c r="BA29" s="582"/>
    </row>
    <row r="30" spans="1:53" ht="16.5" customHeight="1" x14ac:dyDescent="0.25">
      <c r="A30" s="604" t="s">
        <v>295</v>
      </c>
      <c r="B30" s="605"/>
      <c r="C30" s="605"/>
      <c r="D30" s="572"/>
      <c r="E30" s="625" t="str">
        <f>IF(T18=1,"",T27-E28*(1/(1+$E$103))^1)</f>
        <v/>
      </c>
      <c r="F30" s="625"/>
      <c r="G30" s="625"/>
      <c r="H30" s="625"/>
      <c r="I30" s="625" t="str">
        <f>IF(X18=1,"",X27-I28*(1/(1+$E$103))^1)</f>
        <v/>
      </c>
      <c r="J30" s="625"/>
      <c r="K30" s="625"/>
      <c r="L30" s="625"/>
      <c r="M30" s="625" t="str">
        <f>IF(AB18=1,"",AB27-M28*(1/(1+$E$103))^1)</f>
        <v/>
      </c>
      <c r="N30" s="625"/>
      <c r="O30" s="625"/>
      <c r="P30" s="587"/>
      <c r="R30" s="582"/>
      <c r="T30" s="567"/>
      <c r="U30" s="567"/>
      <c r="V30" s="559" t="s">
        <v>278</v>
      </c>
      <c r="AG30">
        <v>11</v>
      </c>
      <c r="AH30" t="s">
        <v>348</v>
      </c>
      <c r="AI30">
        <v>30</v>
      </c>
      <c r="AJ30" s="612">
        <v>1.4999999999999999E-2</v>
      </c>
      <c r="AK30" s="611">
        <v>0.95</v>
      </c>
      <c r="AL30" s="611">
        <v>0</v>
      </c>
      <c r="AM30"/>
      <c r="AN30"/>
      <c r="AO30"/>
      <c r="AP30">
        <v>51</v>
      </c>
      <c r="AQ30" s="907" t="s">
        <v>456</v>
      </c>
      <c r="AR30" s="908">
        <v>3.4799999999999998E-2</v>
      </c>
      <c r="AS30" s="764" t="s">
        <v>438</v>
      </c>
      <c r="AT30" s="764"/>
      <c r="AU30" s="764"/>
      <c r="AV30" s="764"/>
      <c r="AW30" s="764"/>
      <c r="AX30" s="764"/>
      <c r="AY30" s="582"/>
      <c r="AZ30" s="582"/>
      <c r="BA30" s="582"/>
    </row>
    <row r="31" spans="1:53" ht="16.5" customHeight="1" x14ac:dyDescent="0.25">
      <c r="A31" s="604" t="s">
        <v>296</v>
      </c>
      <c r="B31" s="605"/>
      <c r="C31" s="605"/>
      <c r="D31" s="572"/>
      <c r="E31" s="625" t="str">
        <f>IF(T18=1,"",U27)</f>
        <v/>
      </c>
      <c r="F31" s="625"/>
      <c r="G31" s="625"/>
      <c r="H31" s="625"/>
      <c r="I31" s="625" t="str">
        <f>IF(X18=1,"",Y27)</f>
        <v/>
      </c>
      <c r="J31" s="625"/>
      <c r="K31" s="625"/>
      <c r="L31" s="625"/>
      <c r="M31" s="625" t="str">
        <f>IF(AB18=1,"",AC27)</f>
        <v/>
      </c>
      <c r="N31" s="625"/>
      <c r="O31" s="625"/>
      <c r="P31" s="587"/>
      <c r="R31" s="582"/>
      <c r="V31" s="562" t="s">
        <v>297</v>
      </c>
      <c r="AG31">
        <v>12</v>
      </c>
      <c r="AH31" s="639" t="s">
        <v>446</v>
      </c>
      <c r="AI31" s="639">
        <v>30</v>
      </c>
      <c r="AJ31" s="612">
        <v>1.4999999999999999E-2</v>
      </c>
      <c r="AK31" s="611">
        <v>0.95</v>
      </c>
      <c r="AL31" s="611">
        <v>0</v>
      </c>
      <c r="AM31" s="904"/>
      <c r="AN31" s="904"/>
      <c r="AO31" s="904"/>
      <c r="AP31" s="904">
        <v>291</v>
      </c>
      <c r="AQ31" s="907" t="s">
        <v>457</v>
      </c>
      <c r="AR31" s="908">
        <v>2.2800000000000001E-2</v>
      </c>
      <c r="AS31" s="764" t="s">
        <v>458</v>
      </c>
      <c r="AT31" s="582"/>
      <c r="AU31" s="582"/>
      <c r="AV31" s="582"/>
      <c r="AW31" s="764"/>
      <c r="AX31" s="764"/>
      <c r="AY31" s="582"/>
      <c r="AZ31" s="582"/>
      <c r="BA31" s="582"/>
    </row>
    <row r="32" spans="1:53" ht="16.5" customHeight="1" x14ac:dyDescent="0.2">
      <c r="A32" s="604" t="s">
        <v>298</v>
      </c>
      <c r="B32" s="605"/>
      <c r="C32" s="605"/>
      <c r="D32" s="572"/>
      <c r="E32" s="625" t="str">
        <f>IF(T18=1,"",V27)</f>
        <v/>
      </c>
      <c r="F32" s="625"/>
      <c r="G32" s="625"/>
      <c r="H32" s="625"/>
      <c r="I32" s="625" t="str">
        <f>IF(X18=1,"",Z27)</f>
        <v/>
      </c>
      <c r="J32" s="625"/>
      <c r="K32" s="625"/>
      <c r="L32" s="625"/>
      <c r="M32" s="625" t="str">
        <f>IF(AB18=1,"",AD27)</f>
        <v/>
      </c>
      <c r="N32" s="625"/>
      <c r="O32" s="625"/>
      <c r="P32" s="587"/>
      <c r="R32" s="582"/>
      <c r="V32" s="562" t="s">
        <v>299</v>
      </c>
      <c r="AG32">
        <v>13</v>
      </c>
      <c r="AH32" s="639" t="s">
        <v>461</v>
      </c>
      <c r="AI32" s="639">
        <v>20</v>
      </c>
      <c r="AJ32" s="918">
        <v>1.4999999999999999E-2</v>
      </c>
      <c r="AK32" s="639">
        <v>1</v>
      </c>
      <c r="AL32" s="904"/>
      <c r="AM32" s="904"/>
      <c r="AN32" s="904"/>
      <c r="AO32" s="904"/>
      <c r="AP32" s="904">
        <v>276</v>
      </c>
      <c r="AQ32" s="907" t="s">
        <v>462</v>
      </c>
      <c r="AR32" s="908">
        <v>0.629</v>
      </c>
      <c r="AS32" s="764" t="s">
        <v>463</v>
      </c>
      <c r="AT32" s="764"/>
      <c r="AU32" s="764"/>
      <c r="AV32" s="764"/>
      <c r="AW32" s="764"/>
      <c r="AX32" s="764"/>
      <c r="AY32" s="582"/>
      <c r="AZ32" s="582"/>
      <c r="BA32" s="582"/>
    </row>
    <row r="33" spans="1:53" ht="6" customHeight="1" x14ac:dyDescent="0.2">
      <c r="A33" s="563"/>
      <c r="B33" s="564"/>
      <c r="C33" s="564"/>
      <c r="D33" s="564"/>
      <c r="E33" s="573"/>
      <c r="F33" s="573"/>
      <c r="G33" s="573"/>
      <c r="H33" s="573"/>
      <c r="I33" s="573"/>
      <c r="J33" s="573"/>
      <c r="K33" s="573"/>
      <c r="L33" s="573"/>
      <c r="M33" s="573"/>
      <c r="N33" s="573"/>
      <c r="O33" s="574"/>
      <c r="P33" s="588"/>
      <c r="R33" s="582"/>
      <c r="AG33"/>
      <c r="AH33" t="s">
        <v>293</v>
      </c>
      <c r="AI33">
        <v>50</v>
      </c>
      <c r="AJ33"/>
      <c r="AK33"/>
      <c r="AL33"/>
      <c r="AM33"/>
      <c r="AN33"/>
      <c r="AO33"/>
      <c r="AP33"/>
      <c r="AQ33" s="764"/>
      <c r="AR33" s="764"/>
      <c r="AS33" s="764" t="s">
        <v>439</v>
      </c>
      <c r="AT33" s="764"/>
      <c r="AU33" s="764"/>
      <c r="AV33" s="764"/>
      <c r="AW33" s="764"/>
      <c r="AX33" s="764"/>
      <c r="AY33" s="582"/>
      <c r="AZ33" s="582"/>
      <c r="BA33" s="582"/>
    </row>
    <row r="34" spans="1:53" ht="19.5" customHeight="1" x14ac:dyDescent="0.2">
      <c r="A34" s="603" t="s">
        <v>300</v>
      </c>
      <c r="B34" s="561"/>
      <c r="C34" s="561"/>
      <c r="D34" s="561"/>
      <c r="E34" s="1183" t="str">
        <f>IF(T18=1,"",E30+E31-E32)</f>
        <v/>
      </c>
      <c r="F34" s="1184"/>
      <c r="G34" s="1185"/>
      <c r="H34" s="574"/>
      <c r="I34" s="1183" t="str">
        <f>IF(X18=1,"",I30+I31-I32)</f>
        <v/>
      </c>
      <c r="J34" s="1184"/>
      <c r="K34" s="1185"/>
      <c r="L34" s="574"/>
      <c r="M34" s="1183" t="str">
        <f>IF(AB18=1,"",M30+M31-M32)</f>
        <v/>
      </c>
      <c r="N34" s="1184"/>
      <c r="O34" s="1185"/>
      <c r="P34" s="589"/>
      <c r="R34" s="582"/>
      <c r="AG34"/>
      <c r="AH34" t="s">
        <v>349</v>
      </c>
      <c r="AI34">
        <v>20</v>
      </c>
      <c r="AJ34"/>
      <c r="AK34"/>
      <c r="AL34"/>
      <c r="AM34"/>
      <c r="AN34"/>
      <c r="AO34"/>
      <c r="AP34"/>
      <c r="AQ34" s="764"/>
      <c r="AR34" s="764"/>
      <c r="AS34" s="764" t="s">
        <v>440</v>
      </c>
      <c r="AT34" s="764"/>
      <c r="AU34" s="764"/>
      <c r="AV34" s="764"/>
      <c r="AW34" s="764"/>
      <c r="AX34" s="764"/>
      <c r="AY34" s="582"/>
      <c r="AZ34" s="582"/>
      <c r="BA34" s="582"/>
    </row>
    <row r="35" spans="1:53" ht="6.75" customHeight="1" x14ac:dyDescent="0.2">
      <c r="A35" s="563"/>
      <c r="B35" s="564"/>
      <c r="C35" s="564"/>
      <c r="D35" s="564"/>
      <c r="E35" s="564"/>
      <c r="F35" s="564"/>
      <c r="G35" s="564"/>
      <c r="H35" s="564"/>
      <c r="I35" s="564"/>
      <c r="J35" s="564"/>
      <c r="K35" s="564"/>
      <c r="L35" s="564"/>
      <c r="M35" s="564"/>
      <c r="N35" s="564"/>
      <c r="O35" s="561"/>
      <c r="P35" s="584"/>
      <c r="R35" s="582"/>
      <c r="AG35"/>
      <c r="AH35" t="s">
        <v>350</v>
      </c>
      <c r="AI35">
        <v>15</v>
      </c>
      <c r="AJ35"/>
      <c r="AK35"/>
      <c r="AL35"/>
      <c r="AM35"/>
      <c r="AN35"/>
      <c r="AO35"/>
      <c r="AP35"/>
      <c r="AQ35" s="764"/>
      <c r="AR35" s="764"/>
      <c r="AS35" s="764" t="s">
        <v>441</v>
      </c>
      <c r="AT35" s="764"/>
      <c r="AU35" s="764"/>
      <c r="AV35" s="764"/>
      <c r="AW35" s="764"/>
      <c r="AX35" s="764"/>
      <c r="AY35" s="582"/>
      <c r="AZ35" s="582"/>
      <c r="BA35" s="582"/>
    </row>
    <row r="36" spans="1:53" ht="18" customHeight="1" x14ac:dyDescent="0.2">
      <c r="A36" s="558">
        <v>3</v>
      </c>
      <c r="B36" s="1186" t="s">
        <v>301</v>
      </c>
      <c r="C36" s="1187"/>
      <c r="D36" s="1187"/>
      <c r="E36" s="1187"/>
      <c r="F36" s="1187"/>
      <c r="G36" s="1187"/>
      <c r="H36" s="1187"/>
      <c r="I36" s="1187"/>
      <c r="J36" s="1187"/>
      <c r="K36" s="1187"/>
      <c r="L36" s="1187"/>
      <c r="M36" s="1187"/>
      <c r="N36" s="1187"/>
      <c r="O36" s="1187"/>
      <c r="P36" s="1188"/>
      <c r="R36" s="582"/>
      <c r="AH36" t="s">
        <v>351</v>
      </c>
      <c r="AI36">
        <v>10</v>
      </c>
      <c r="AQ36" s="764"/>
      <c r="AR36" s="764"/>
      <c r="AS36" s="764" t="s">
        <v>442</v>
      </c>
      <c r="AT36" s="764"/>
      <c r="AU36" s="764"/>
      <c r="AV36" s="764"/>
      <c r="AW36" s="764"/>
      <c r="AX36" s="764"/>
      <c r="AY36" s="582"/>
      <c r="AZ36" s="582"/>
      <c r="BA36" s="582"/>
    </row>
    <row r="37" spans="1:53" ht="6.75" customHeight="1" x14ac:dyDescent="0.2">
      <c r="A37" s="560"/>
      <c r="B37" s="561"/>
      <c r="C37" s="561"/>
      <c r="D37" s="561"/>
      <c r="E37" s="561"/>
      <c r="F37" s="561"/>
      <c r="G37" s="561"/>
      <c r="H37" s="561"/>
      <c r="I37" s="561"/>
      <c r="J37" s="561"/>
      <c r="K37" s="561"/>
      <c r="L37" s="561"/>
      <c r="M37" s="561"/>
      <c r="N37" s="561"/>
      <c r="O37" s="561"/>
      <c r="P37" s="584"/>
      <c r="R37" s="582"/>
      <c r="V37" s="557" t="s">
        <v>371</v>
      </c>
      <c r="AQ37" s="582"/>
      <c r="AR37" s="582"/>
      <c r="AS37" s="582"/>
      <c r="AT37" s="582"/>
      <c r="AU37" s="582"/>
      <c r="AV37" s="582"/>
      <c r="AW37" s="582"/>
      <c r="AX37" s="582"/>
      <c r="AY37" s="582"/>
      <c r="AZ37" s="582"/>
      <c r="BA37" s="582"/>
    </row>
    <row r="38" spans="1:53" ht="16.5" customHeight="1" x14ac:dyDescent="0.2">
      <c r="A38" s="560"/>
      <c r="B38" s="561"/>
      <c r="C38" s="561"/>
      <c r="D38" s="561"/>
      <c r="E38" s="1172" t="str">
        <f>U18</f>
        <v/>
      </c>
      <c r="F38" s="1172"/>
      <c r="G38" s="1172"/>
      <c r="H38" s="598"/>
      <c r="I38" s="1172" t="str">
        <f>Y18</f>
        <v/>
      </c>
      <c r="J38" s="1172"/>
      <c r="K38" s="1172"/>
      <c r="L38" s="598"/>
      <c r="M38" s="1172" t="str">
        <f>AC18</f>
        <v/>
      </c>
      <c r="N38" s="1172"/>
      <c r="O38" s="1172"/>
      <c r="P38" s="584"/>
      <c r="R38" s="582"/>
      <c r="V38" s="557" t="s">
        <v>366</v>
      </c>
      <c r="W38" s="557" t="s">
        <v>367</v>
      </c>
      <c r="X38" s="557" t="s">
        <v>368</v>
      </c>
      <c r="AQ38" s="582"/>
      <c r="AR38" s="582"/>
      <c r="AS38" s="582"/>
      <c r="AT38" s="582"/>
      <c r="AU38" s="582"/>
      <c r="AV38" s="582"/>
      <c r="AW38" s="582"/>
      <c r="AX38" s="582"/>
      <c r="AY38" s="582"/>
      <c r="AZ38" s="582"/>
      <c r="BA38" s="582"/>
    </row>
    <row r="39" spans="1:53" ht="6.75" customHeight="1" x14ac:dyDescent="0.2">
      <c r="A39" s="560"/>
      <c r="B39" s="561"/>
      <c r="C39" s="561"/>
      <c r="D39" s="561"/>
      <c r="E39" s="561"/>
      <c r="F39" s="561"/>
      <c r="G39" s="561"/>
      <c r="H39" s="561"/>
      <c r="I39" s="561"/>
      <c r="J39" s="561"/>
      <c r="K39" s="561"/>
      <c r="L39" s="561"/>
      <c r="M39" s="561"/>
      <c r="N39" s="561"/>
      <c r="O39" s="561"/>
      <c r="P39" s="584"/>
      <c r="R39" s="582"/>
    </row>
    <row r="40" spans="1:53" ht="16.5" customHeight="1" x14ac:dyDescent="0.2">
      <c r="A40" s="596" t="s">
        <v>302</v>
      </c>
      <c r="B40" s="598"/>
      <c r="C40" s="598"/>
      <c r="D40" s="561"/>
      <c r="E40" s="1173" t="str">
        <f>IF(T18=1,"",IF(V41=TRUE,"",VLOOKUP(T18,$AG$21:$AK$32,5,FALSE)))</f>
        <v/>
      </c>
      <c r="F40" s="1174"/>
      <c r="G40" s="1175"/>
      <c r="H40" s="598"/>
      <c r="I40" s="1173" t="str">
        <f>IF(X18=1,"",IF(W41=TRUE,"",VLOOKUP(X18,$AG$21:$AK$32,5,FALSE)))</f>
        <v/>
      </c>
      <c r="J40" s="1174"/>
      <c r="K40" s="1175"/>
      <c r="L40" s="598"/>
      <c r="M40" s="1173" t="str">
        <f>IF(AB18=1,"",IF(X41=TRUE,"",VLOOKUP(AB18,$AG$21:$AK$32,5,FALSE)))</f>
        <v/>
      </c>
      <c r="N40" s="1174"/>
      <c r="O40" s="1175"/>
      <c r="P40" s="590"/>
      <c r="Q40" s="582"/>
      <c r="R40" s="582"/>
      <c r="V40" s="713" t="str">
        <f>IF(V41=FALSE,E40,E41)</f>
        <v/>
      </c>
      <c r="W40" s="713" t="str">
        <f>IF(W41=FALSE,I40,I41)</f>
        <v/>
      </c>
      <c r="X40" s="713" t="str">
        <f>IF(X41=FALSE,M40,M41)</f>
        <v/>
      </c>
    </row>
    <row r="41" spans="1:53" ht="16.5" customHeight="1" x14ac:dyDescent="0.2">
      <c r="A41" s="1161" t="s">
        <v>372</v>
      </c>
      <c r="B41" s="1162"/>
      <c r="C41" s="1163"/>
      <c r="D41" s="561"/>
      <c r="E41" s="1158"/>
      <c r="F41" s="1159"/>
      <c r="G41" s="1160"/>
      <c r="H41" s="598"/>
      <c r="I41" s="1158"/>
      <c r="J41" s="1159"/>
      <c r="K41" s="1160"/>
      <c r="L41" s="598"/>
      <c r="M41" s="1158"/>
      <c r="N41" s="1159"/>
      <c r="O41" s="1160"/>
      <c r="P41" s="829"/>
      <c r="Q41" s="582"/>
      <c r="R41" s="582"/>
      <c r="V41" s="826" t="b">
        <v>0</v>
      </c>
      <c r="W41" s="826" t="b">
        <v>0</v>
      </c>
      <c r="X41" s="826" t="b">
        <v>0</v>
      </c>
    </row>
    <row r="42" spans="1:53" ht="16.5" customHeight="1" x14ac:dyDescent="0.2">
      <c r="A42" s="686" t="s">
        <v>333</v>
      </c>
      <c r="B42" s="598"/>
      <c r="C42" s="598"/>
      <c r="D42" s="561"/>
      <c r="E42" s="1176" t="str">
        <f>IF(T18=1,"",IF(AND(V41=TRUE,V40=0),"Jahreswirkungsgrad eingeben",(D15+D14)*D13/V40))</f>
        <v/>
      </c>
      <c r="F42" s="1177"/>
      <c r="G42" s="1178"/>
      <c r="H42" s="598"/>
      <c r="I42" s="1180" t="str">
        <f>IF(X18=1,"",IF(AND(W41=TRUE,W40=0),"Jahreswirkungsgrad eingeben",(D15+D14)*D13/W40))</f>
        <v/>
      </c>
      <c r="J42" s="1181"/>
      <c r="K42" s="1182"/>
      <c r="L42" s="598"/>
      <c r="M42" s="1176" t="str">
        <f>IF(AB18=1,"",IF(AND(X41=TRUE,X40=0),"Jahreswirkungsgrad eingeben",(D15+D14)*D13/X40))</f>
        <v/>
      </c>
      <c r="N42" s="1177"/>
      <c r="O42" s="1178"/>
      <c r="P42" s="830"/>
      <c r="R42" s="582"/>
      <c r="T42" s="566"/>
    </row>
    <row r="43" spans="1:53" ht="10.5" customHeight="1" x14ac:dyDescent="0.2">
      <c r="A43" s="685" t="s">
        <v>362</v>
      </c>
      <c r="B43" s="598"/>
      <c r="C43" s="598"/>
      <c r="D43" s="561"/>
      <c r="E43" s="627"/>
      <c r="F43" s="627"/>
      <c r="G43" s="627"/>
      <c r="H43" s="598"/>
      <c r="I43" s="627"/>
      <c r="J43" s="627"/>
      <c r="K43" s="627"/>
      <c r="L43" s="598"/>
      <c r="M43" s="627"/>
      <c r="N43" s="627"/>
      <c r="O43" s="627"/>
      <c r="P43" s="830"/>
      <c r="R43" s="582"/>
      <c r="T43" s="566"/>
    </row>
    <row r="44" spans="1:53" ht="6.75" customHeight="1" x14ac:dyDescent="0.2">
      <c r="A44" s="685"/>
      <c r="B44" s="598"/>
      <c r="C44" s="598"/>
      <c r="D44" s="687"/>
      <c r="E44" s="688"/>
      <c r="F44" s="688"/>
      <c r="G44" s="688"/>
      <c r="H44" s="689"/>
      <c r="I44" s="688"/>
      <c r="J44" s="688"/>
      <c r="K44" s="688"/>
      <c r="L44" s="689"/>
      <c r="M44" s="688"/>
      <c r="N44" s="688"/>
      <c r="O44" s="627"/>
      <c r="P44" s="830"/>
      <c r="R44" s="582"/>
      <c r="T44" s="566"/>
    </row>
    <row r="45" spans="1:53" ht="16.5" customHeight="1" x14ac:dyDescent="0.2">
      <c r="A45" s="692" t="s">
        <v>384</v>
      </c>
      <c r="B45" s="598"/>
      <c r="C45" s="598"/>
      <c r="D45" s="687"/>
      <c r="E45" s="1189"/>
      <c r="F45" s="1190"/>
      <c r="G45" s="1191"/>
      <c r="H45" s="689"/>
      <c r="I45" s="1189"/>
      <c r="J45" s="1190"/>
      <c r="K45" s="1191"/>
      <c r="L45" s="690"/>
      <c r="M45" s="1189"/>
      <c r="N45" s="1190"/>
      <c r="O45" s="1191"/>
      <c r="P45" s="830"/>
      <c r="R45" s="582"/>
      <c r="T45" s="566" t="s">
        <v>285</v>
      </c>
    </row>
    <row r="46" spans="1:53" ht="15" customHeight="1" x14ac:dyDescent="0.2">
      <c r="A46" s="603"/>
      <c r="B46" s="598"/>
      <c r="C46" s="598"/>
      <c r="D46" s="561"/>
      <c r="E46" s="627"/>
      <c r="F46" s="627"/>
      <c r="G46" s="627"/>
      <c r="H46" s="598"/>
      <c r="I46" s="627"/>
      <c r="J46" s="627"/>
      <c r="K46" s="627"/>
      <c r="L46" s="598"/>
      <c r="M46" s="627"/>
      <c r="N46" s="627"/>
      <c r="O46" s="627"/>
      <c r="P46" s="830"/>
      <c r="R46" s="582"/>
      <c r="T46" s="825" t="b">
        <v>0</v>
      </c>
    </row>
    <row r="47" spans="1:53" ht="16.5" customHeight="1" x14ac:dyDescent="0.2">
      <c r="A47" s="596"/>
      <c r="B47" s="598"/>
      <c r="C47" s="598"/>
      <c r="D47" s="561"/>
      <c r="E47" s="613" t="s">
        <v>303</v>
      </c>
      <c r="F47" s="1192" t="s">
        <v>288</v>
      </c>
      <c r="G47" s="1192"/>
      <c r="H47" s="598"/>
      <c r="I47" s="613" t="s">
        <v>303</v>
      </c>
      <c r="J47" s="1192" t="s">
        <v>288</v>
      </c>
      <c r="K47" s="1192"/>
      <c r="L47" s="598"/>
      <c r="M47" s="613" t="s">
        <v>303</v>
      </c>
      <c r="N47" s="1192" t="s">
        <v>288</v>
      </c>
      <c r="O47" s="1192"/>
      <c r="P47" s="774"/>
      <c r="R47" s="582"/>
      <c r="T47" s="568" t="s">
        <v>304</v>
      </c>
      <c r="X47" s="568" t="s">
        <v>304</v>
      </c>
      <c r="AB47" s="568" t="s">
        <v>304</v>
      </c>
    </row>
    <row r="48" spans="1:53" ht="16.5" customHeight="1" x14ac:dyDescent="0.2">
      <c r="A48" s="596" t="s">
        <v>305</v>
      </c>
      <c r="B48" s="626"/>
      <c r="C48" s="598"/>
      <c r="D48" s="691"/>
      <c r="E48" s="628" t="str">
        <f>IF(OR(T18=1,E42="",E45=""),"",IF($T$46=TRUE,"",E45*E42))</f>
        <v/>
      </c>
      <c r="F48" s="1169" t="str">
        <f>IF(T18=1,"",$E$104)</f>
        <v/>
      </c>
      <c r="G48" s="1169"/>
      <c r="H48" s="598"/>
      <c r="I48" s="628" t="str">
        <f>IF(OR(I42="",I45="",X18=1),"",IF($T$46=TRUE,"",I45*I42))</f>
        <v/>
      </c>
      <c r="J48" s="1169" t="str">
        <f>IF(X18=1,"",$E$104)</f>
        <v/>
      </c>
      <c r="K48" s="1169"/>
      <c r="L48" s="598"/>
      <c r="M48" s="628" t="str">
        <f>IF(OR(M42="",M45="",AB18=1),"",IF($T$46=TRUE,"",M45*M42))</f>
        <v/>
      </c>
      <c r="N48" s="1169" t="str">
        <f>IF(AB18=1,"",$E$104)</f>
        <v/>
      </c>
      <c r="O48" s="1169"/>
      <c r="P48" s="829"/>
      <c r="R48" s="582"/>
      <c r="T48" s="570">
        <f>IF(OR(E48="",F48=""),0,IF(((1+F48)/(1+$E$103))=1,$E$105,((1+F48)/(1+$E$103)*(((1+F48)/(1+$E$103))^$E$105-1))/((1+F48)/(1+$E$103)-1)))</f>
        <v>0</v>
      </c>
      <c r="X48" s="570">
        <f>IF(OR(I48="",J48=""),0,IF(((1+J48)/(1+$E$103))=1,$E$105,((1+J48)/(1+$E$103)*(((1+J48)/(1+$E$103))^$E$105-1))/((1+J48)/(1+$E$103)-1)))</f>
        <v>0</v>
      </c>
      <c r="AB48" s="570">
        <f>IF(OR(M48="",N48=""),0,IF(((1+N48)/(1+$E$103))=1,$E$105,((1+N48)/(1+$E$103)*(((1+N48)/(1+$E$103))^$E$105-1))/((1+N48)/(1+$E$103)-1)))</f>
        <v>0</v>
      </c>
    </row>
    <row r="49" spans="1:54" ht="16.5" customHeight="1" x14ac:dyDescent="0.2">
      <c r="A49" s="596" t="s">
        <v>306</v>
      </c>
      <c r="B49" s="626"/>
      <c r="C49" s="598"/>
      <c r="D49" s="561"/>
      <c r="E49" s="617"/>
      <c r="F49" s="1169" t="str">
        <f>IF(T18=1,"",$E$104)</f>
        <v/>
      </c>
      <c r="G49" s="1169"/>
      <c r="H49" s="598"/>
      <c r="I49" s="617"/>
      <c r="J49" s="1169" t="str">
        <f>IF(X18=1,"",$E$104)</f>
        <v/>
      </c>
      <c r="K49" s="1169"/>
      <c r="L49" s="598"/>
      <c r="M49" s="617"/>
      <c r="N49" s="1169" t="str">
        <f>IF(AB18=1,"",$E$104)</f>
        <v/>
      </c>
      <c r="O49" s="1169"/>
      <c r="P49" s="829"/>
      <c r="R49" s="582"/>
      <c r="T49" s="570">
        <f>IF(OR(E49="",F49=""),0,IF(((1+F49)/(1+$E$103))=1,$E$105,((1+F49)/(1+$E$103)*(((1+F49)/(1+$E$103))^$E$105-1))/((1+F49)/(1+$E$103)-1)))</f>
        <v>0</v>
      </c>
      <c r="X49" s="570">
        <f>IF(OR(I49="",J49=""),0,IF(((1+J49)/(1+$E$103))=1,$E$105,((1+J49)/(1+$E$103)*(((1+J49)/(1+$E$103))^$E$105-1))/((1+J49)/(1+$E$103)-1)))</f>
        <v>0</v>
      </c>
      <c r="AB49" s="570">
        <f>IF(OR(M49="",N49=""),0,IF(((1+N49)/(1+$E$103))=1,$E$105,((1+N49)/(1+$E$103)*(((1+N49)/(1+$E$103))^$E$105-1))/((1+N49)/(1+$E$103)-1)))</f>
        <v>0</v>
      </c>
    </row>
    <row r="50" spans="1:54" ht="16.5" customHeight="1" x14ac:dyDescent="0.2">
      <c r="A50" s="1161" t="s">
        <v>374</v>
      </c>
      <c r="B50" s="1162"/>
      <c r="C50" s="1163"/>
      <c r="D50" s="561"/>
      <c r="E50" s="614"/>
      <c r="F50" s="1170"/>
      <c r="G50" s="1171"/>
      <c r="H50" s="598"/>
      <c r="I50" s="614"/>
      <c r="J50" s="1170"/>
      <c r="K50" s="1171"/>
      <c r="L50" s="598"/>
      <c r="M50" s="614"/>
      <c r="N50" s="1170"/>
      <c r="O50" s="1171"/>
      <c r="P50" s="831"/>
      <c r="R50" s="582"/>
      <c r="T50" s="570">
        <f>IF(OR(E50="",F50=""),0,IF(((1+F50)/(1+$E$103))=1,$E$105,((1+F50)/(1+$E$103)*(((1+F50)/(1+$E$103))^$E$105-1))/((1+F50)/(1+$E$103)-1)))</f>
        <v>0</v>
      </c>
      <c r="X50" s="570">
        <f>IF(OR(I50="",J50=""),0,IF(((1+J50)/(1+$E$103))=1,$E$105,((1+J50)/(1+$E$103)*(((1+J50)/(1+$E$103))^$E$105-1))/((1+J50)/(1+$E$103)-1)))</f>
        <v>0</v>
      </c>
      <c r="AB50" s="570">
        <f>IF(OR(M50="",N50=""),0,IF(((1+N50)/(1+$E$103))=1,$E$105,((1+N50)/(1+$E$103)*(((1+N50)/(1+$E$103))^$E$105-1))/((1+N50)/(1+$E$103)-1)))</f>
        <v>0</v>
      </c>
    </row>
    <row r="51" spans="1:54" ht="16.5" customHeight="1" x14ac:dyDescent="0.2">
      <c r="A51" s="1161" t="s">
        <v>374</v>
      </c>
      <c r="B51" s="1162"/>
      <c r="C51" s="1163"/>
      <c r="D51" s="561"/>
      <c r="E51" s="614"/>
      <c r="F51" s="1213"/>
      <c r="G51" s="1214"/>
      <c r="H51" s="598"/>
      <c r="I51" s="614"/>
      <c r="J51" s="1213"/>
      <c r="K51" s="1214"/>
      <c r="L51" s="598"/>
      <c r="M51" s="614"/>
      <c r="N51" s="1213"/>
      <c r="O51" s="1214"/>
      <c r="P51" s="831"/>
      <c r="R51" s="582"/>
      <c r="T51" s="570">
        <f>IF(OR(E51="",F51=""),0,IF(((1+F51)/(1+$E$103))=1,$E$105,((1+F51)/(1+$E$103)*(((1+F51)/(1+$E$103))^$E$105-1))/((1+F51)/(1+$E$103)-1)))</f>
        <v>0</v>
      </c>
      <c r="X51" s="570">
        <f>IF(OR(I51="",J51=""),0,IF(((1+J51)/(1+$E$103))=1,$E$105,((1+J51)/(1+$E$103)*(((1+J51)/(1+$E$103))^$E$105-1))/((1+J51)/(1+$E$103)-1)))</f>
        <v>0</v>
      </c>
      <c r="AB51" s="570">
        <f>IF(OR(M51="",N51=""),0,IF(((1+N51)/(1+$E$103))=1,$E$105,((1+N51)/(1+$E$103)*(((1+N51)/(1+$E$103))^$E$105-1))/((1+N51)/(1+$E$103)-1)))</f>
        <v>0</v>
      </c>
    </row>
    <row r="52" spans="1:54" ht="16.5" customHeight="1" x14ac:dyDescent="0.2">
      <c r="A52" s="1161" t="s">
        <v>374</v>
      </c>
      <c r="B52" s="1162"/>
      <c r="C52" s="1163"/>
      <c r="D52" s="561"/>
      <c r="E52" s="614"/>
      <c r="F52" s="1213"/>
      <c r="G52" s="1214"/>
      <c r="H52" s="598"/>
      <c r="I52" s="614"/>
      <c r="J52" s="1213"/>
      <c r="K52" s="1214"/>
      <c r="L52" s="598"/>
      <c r="M52" s="614"/>
      <c r="N52" s="1213"/>
      <c r="O52" s="1214"/>
      <c r="P52" s="831"/>
      <c r="R52" s="582"/>
      <c r="T52" s="570">
        <f>IF(OR(E52="",F52=""),0,IF(((1+F52)/(1+$E$103))=1,$E$105,((1+F52)/(1+$E$103)*(((1+F52)/(1+$E$103))^$E$105-1))/((1+F52)/(1+$E$103)-1)))</f>
        <v>0</v>
      </c>
      <c r="X52" s="570">
        <f>IF(OR(I52="",J52=""),0,IF(((1+J52)/(1+$E$103))=1,$E$105,((1+J52)/(1+$E$103)*(((1+J52)/(1+$E$103))^$E$105-1))/((1+J52)/(1+$E$103)-1)))</f>
        <v>0</v>
      </c>
      <c r="AB52" s="570">
        <f>IF(OR(M52="",N52=""),0,IF(((1+N52)/(1+$E$103))=1,$E$105,((1+N52)/(1+$E$103)*(((1+N52)/(1+$E$103))^$E$105-1))/((1+N52)/(1+$E$103)-1)))</f>
        <v>0</v>
      </c>
    </row>
    <row r="53" spans="1:54" ht="6" customHeight="1" x14ac:dyDescent="0.2">
      <c r="A53" s="596"/>
      <c r="B53" s="598"/>
      <c r="C53" s="598"/>
      <c r="D53" s="561"/>
      <c r="E53" s="561"/>
      <c r="F53" s="561"/>
      <c r="G53" s="561"/>
      <c r="H53" s="561"/>
      <c r="I53" s="561"/>
      <c r="J53" s="561"/>
      <c r="K53" s="561"/>
      <c r="L53" s="561"/>
      <c r="M53" s="561"/>
      <c r="N53" s="561"/>
      <c r="O53" s="561"/>
      <c r="P53" s="832"/>
      <c r="R53" s="582"/>
    </row>
    <row r="54" spans="1:54" ht="19.5" customHeight="1" x14ac:dyDescent="0.2">
      <c r="A54" s="603" t="s">
        <v>353</v>
      </c>
      <c r="B54" s="598"/>
      <c r="C54" s="598"/>
      <c r="D54" s="561"/>
      <c r="E54" s="1168" t="str">
        <f>IF(T18=1,"",IF(E48="",0,E48)*T48+E49*T49+E50*T50+E51*T51+E52*T52)</f>
        <v/>
      </c>
      <c r="F54" s="1168"/>
      <c r="G54" s="1168"/>
      <c r="H54" s="561"/>
      <c r="I54" s="1168" t="str">
        <f>IF(X18=1,"",IF(I48="",0,I48)*X48+I49*X49+I50*X50+I51*X51+I52*X52)</f>
        <v/>
      </c>
      <c r="J54" s="1168"/>
      <c r="K54" s="1168"/>
      <c r="L54" s="561"/>
      <c r="M54" s="1168" t="str">
        <f>IF(AB18=1,"",IF(M48="",0,M48)*AB48+M49*AB49+M50*AB50+M51*AB51+M52*AB52)</f>
        <v/>
      </c>
      <c r="N54" s="1168"/>
      <c r="O54" s="1168"/>
      <c r="P54" s="833"/>
      <c r="R54" s="582"/>
      <c r="V54" s="559" t="s">
        <v>278</v>
      </c>
    </row>
    <row r="55" spans="1:54" ht="6.75" customHeight="1" x14ac:dyDescent="0.2">
      <c r="A55" s="560"/>
      <c r="B55" s="561"/>
      <c r="C55" s="561"/>
      <c r="D55" s="561"/>
      <c r="E55" s="561"/>
      <c r="F55" s="561"/>
      <c r="G55" s="561"/>
      <c r="H55" s="561"/>
      <c r="I55" s="561"/>
      <c r="J55" s="561"/>
      <c r="K55" s="561"/>
      <c r="L55" s="561"/>
      <c r="M55" s="561"/>
      <c r="N55" s="561"/>
      <c r="O55" s="561"/>
      <c r="P55" s="832"/>
      <c r="R55" s="582"/>
      <c r="U55" s="561"/>
      <c r="V55" s="562" t="s">
        <v>308</v>
      </c>
    </row>
    <row r="56" spans="1:54" ht="15" customHeight="1" x14ac:dyDescent="0.2">
      <c r="A56" s="575" t="s">
        <v>309</v>
      </c>
      <c r="B56" s="576"/>
      <c r="C56" s="576"/>
      <c r="D56" s="576"/>
      <c r="E56" s="576"/>
      <c r="F56" s="576"/>
      <c r="G56" s="576"/>
      <c r="H56" s="576"/>
      <c r="I56" s="576"/>
      <c r="J56" s="576"/>
      <c r="K56" s="576"/>
      <c r="L56" s="576"/>
      <c r="M56" s="576"/>
      <c r="N56" s="576"/>
      <c r="O56" s="576"/>
      <c r="P56" s="834"/>
      <c r="R56" s="582"/>
      <c r="U56" s="561"/>
      <c r="V56" s="562"/>
    </row>
    <row r="57" spans="1:54" ht="18" customHeight="1" x14ac:dyDescent="0.2">
      <c r="A57" s="558">
        <v>4</v>
      </c>
      <c r="B57" s="1186" t="s">
        <v>310</v>
      </c>
      <c r="C57" s="1187"/>
      <c r="D57" s="1187"/>
      <c r="E57" s="1187"/>
      <c r="F57" s="1187"/>
      <c r="G57" s="1187"/>
      <c r="H57" s="1187"/>
      <c r="I57" s="1187"/>
      <c r="J57" s="1187"/>
      <c r="K57" s="1187"/>
      <c r="L57" s="1187"/>
      <c r="M57" s="1187"/>
      <c r="N57" s="1187"/>
      <c r="O57" s="1187"/>
      <c r="P57" s="1188"/>
      <c r="R57" s="582"/>
    </row>
    <row r="58" spans="1:54" ht="5.25" customHeight="1" x14ac:dyDescent="0.2">
      <c r="A58" s="560"/>
      <c r="B58" s="561"/>
      <c r="C58" s="561"/>
      <c r="D58" s="561"/>
      <c r="E58" s="561"/>
      <c r="F58" s="561"/>
      <c r="G58" s="561"/>
      <c r="H58" s="561"/>
      <c r="I58" s="561"/>
      <c r="J58" s="561"/>
      <c r="K58" s="561"/>
      <c r="L58" s="561"/>
      <c r="M58" s="561"/>
      <c r="N58" s="561"/>
      <c r="O58" s="561"/>
      <c r="P58" s="593"/>
      <c r="R58" s="582"/>
      <c r="T58" s="566"/>
    </row>
    <row r="59" spans="1:54" ht="16.5" customHeight="1" x14ac:dyDescent="0.2">
      <c r="A59" s="560"/>
      <c r="B59" s="561"/>
      <c r="C59" s="561"/>
      <c r="D59" s="561"/>
      <c r="E59" s="1172" t="str">
        <f>U18</f>
        <v/>
      </c>
      <c r="F59" s="1172"/>
      <c r="G59" s="1172"/>
      <c r="H59" s="561"/>
      <c r="I59" s="1172" t="str">
        <f>Y18</f>
        <v/>
      </c>
      <c r="J59" s="1172"/>
      <c r="K59" s="1172"/>
      <c r="L59" s="561"/>
      <c r="M59" s="1172" t="str">
        <f>AC18</f>
        <v/>
      </c>
      <c r="N59" s="1172"/>
      <c r="O59" s="1172"/>
      <c r="P59" s="832"/>
      <c r="R59" s="582"/>
      <c r="T59" s="566"/>
    </row>
    <row r="60" spans="1:54" ht="6.75" customHeight="1" x14ac:dyDescent="0.2">
      <c r="A60" s="560"/>
      <c r="B60" s="561"/>
      <c r="C60" s="561"/>
      <c r="D60" s="561"/>
      <c r="E60" s="561"/>
      <c r="F60" s="561"/>
      <c r="G60" s="561"/>
      <c r="H60" s="561"/>
      <c r="I60" s="561"/>
      <c r="J60" s="561"/>
      <c r="K60" s="561"/>
      <c r="L60" s="561"/>
      <c r="M60" s="561"/>
      <c r="N60" s="561"/>
      <c r="O60" s="561"/>
      <c r="P60" s="832"/>
      <c r="R60" s="582"/>
      <c r="T60" s="566" t="s">
        <v>285</v>
      </c>
      <c r="AQ60" s="582"/>
      <c r="AR60" s="582"/>
      <c r="AS60" s="582"/>
      <c r="AT60" s="582"/>
      <c r="AU60" s="582"/>
      <c r="AV60" s="582"/>
      <c r="AW60" s="582"/>
      <c r="AX60" s="582"/>
      <c r="AY60" s="582"/>
      <c r="AZ60" s="582"/>
      <c r="BA60" s="582"/>
      <c r="BB60" s="582"/>
    </row>
    <row r="61" spans="1:54" ht="16.5" customHeight="1" x14ac:dyDescent="0.2">
      <c r="A61" s="560"/>
      <c r="B61" s="561"/>
      <c r="C61" s="561"/>
      <c r="D61" s="561"/>
      <c r="E61" s="613" t="s">
        <v>303</v>
      </c>
      <c r="F61" s="1192" t="s">
        <v>288</v>
      </c>
      <c r="G61" s="1192"/>
      <c r="H61" s="598"/>
      <c r="I61" s="613" t="s">
        <v>303</v>
      </c>
      <c r="J61" s="1192" t="s">
        <v>288</v>
      </c>
      <c r="K61" s="1192"/>
      <c r="L61" s="598"/>
      <c r="M61" s="613" t="s">
        <v>303</v>
      </c>
      <c r="N61" s="1192" t="s">
        <v>288</v>
      </c>
      <c r="O61" s="1192"/>
      <c r="P61" s="774"/>
      <c r="R61" s="582"/>
      <c r="T61" s="825" t="b">
        <v>0</v>
      </c>
      <c r="AQ61" s="582"/>
      <c r="AR61" s="582"/>
      <c r="AS61" s="582"/>
      <c r="AT61" s="582"/>
      <c r="AU61" s="582"/>
      <c r="AV61" s="582"/>
      <c r="AW61" s="582"/>
      <c r="AX61" s="582"/>
      <c r="AY61" s="582"/>
      <c r="AZ61" s="582"/>
      <c r="BA61" s="582"/>
      <c r="BB61" s="582"/>
    </row>
    <row r="62" spans="1:54" ht="16.5" customHeight="1" x14ac:dyDescent="0.2">
      <c r="A62" s="631" t="s">
        <v>311</v>
      </c>
      <c r="B62" s="632"/>
      <c r="C62" s="630"/>
      <c r="D62" s="561"/>
      <c r="E62" s="628" t="str">
        <f>IF(T18=1,"",IF($T$61=TRUE,"",VLOOKUP(T18,$AG$21:$AL$32,4,FALSE)*(T22+U22-V22)))</f>
        <v/>
      </c>
      <c r="F62" s="1179" t="str">
        <f>IF(T18=1,"",$E$103)</f>
        <v/>
      </c>
      <c r="G62" s="1179"/>
      <c r="H62" s="598"/>
      <c r="I62" s="628" t="str">
        <f>IF(X18=1,"",IF($T$61=TRUE,"",VLOOKUP(X18,$AG$21:$AL$32,4,FALSE)*(X22+Y22-Z22)))</f>
        <v/>
      </c>
      <c r="J62" s="1179" t="str">
        <f>IF(X18=1,"",$E$103)</f>
        <v/>
      </c>
      <c r="K62" s="1179"/>
      <c r="L62" s="598"/>
      <c r="M62" s="628" t="str">
        <f>IF(AB18=1,"",IF($T$61=TRUE,"",VLOOKUP(AB18,$AG$21:$AL$32,4,FALSE)*(AB22+AC22-AD22)))</f>
        <v/>
      </c>
      <c r="N62" s="1179" t="str">
        <f>IF(AB18=1,"",$E$103)</f>
        <v/>
      </c>
      <c r="O62" s="1179"/>
      <c r="P62" s="829"/>
      <c r="Q62" s="582"/>
      <c r="R62" s="582"/>
      <c r="T62" s="568" t="s">
        <v>304</v>
      </c>
      <c r="X62" s="568" t="s">
        <v>304</v>
      </c>
      <c r="AB62" s="568" t="s">
        <v>304</v>
      </c>
      <c r="AQ62" s="582"/>
      <c r="AR62" s="582"/>
      <c r="AS62" s="582"/>
      <c r="AT62" s="582"/>
      <c r="AU62" s="582"/>
      <c r="AV62" s="582"/>
      <c r="AW62" s="582"/>
      <c r="AX62" s="582"/>
      <c r="AY62" s="582"/>
      <c r="AZ62" s="582"/>
      <c r="BA62" s="582"/>
      <c r="BB62" s="582"/>
    </row>
    <row r="63" spans="1:54" ht="16.5" customHeight="1" x14ac:dyDescent="0.2">
      <c r="A63" s="1161" t="s">
        <v>374</v>
      </c>
      <c r="B63" s="1162"/>
      <c r="C63" s="1163"/>
      <c r="D63" s="561"/>
      <c r="E63" s="614"/>
      <c r="F63" s="1170"/>
      <c r="G63" s="1171"/>
      <c r="H63" s="598"/>
      <c r="I63" s="614"/>
      <c r="J63" s="1170"/>
      <c r="K63" s="1171"/>
      <c r="L63" s="598"/>
      <c r="M63" s="614"/>
      <c r="N63" s="1170"/>
      <c r="O63" s="1171"/>
      <c r="P63" s="831"/>
      <c r="R63" s="582"/>
      <c r="T63" s="570">
        <f>IF(OR(E62="",F62=""),0,IF(((1+F62)/(1+$E$103))=1,$E$105,((1+F62)/(1+$E$103)*(((1+F62)/(1+$E$103))^$E$105-1))/((1+F62)/(1+$E$103)-1)))</f>
        <v>0</v>
      </c>
      <c r="X63" s="570">
        <f>IF(OR(I62="",J62=""),0,IF(((1+J62)/(1+$E$103))=1,$E$105,((1+J62)/(1+$E$103)*(((1+J62)/(1+$E$103))^$E$105-1))/((1+J62)/(1+$E$103)-1)))</f>
        <v>0</v>
      </c>
      <c r="AB63" s="570">
        <f>IF(OR(M62="",N62=""),0,IF(((1+N62)/(1+$E$103))=1,$E$105,((1+N62)/(1+$E$103)*(((1+N62)/(1+$E$103))^$E$105-1))/((1+N62)/(1+$E$103)-1)))</f>
        <v>0</v>
      </c>
      <c r="AQ63" s="582"/>
      <c r="AR63" s="582"/>
      <c r="AS63" s="582"/>
      <c r="AT63" s="582"/>
      <c r="AU63" s="582"/>
      <c r="AV63" s="582"/>
      <c r="AW63" s="582"/>
      <c r="AX63" s="582"/>
      <c r="AY63" s="582"/>
      <c r="AZ63" s="582"/>
      <c r="BA63" s="582"/>
      <c r="BB63" s="582"/>
    </row>
    <row r="64" spans="1:54" ht="16.5" customHeight="1" x14ac:dyDescent="0.2">
      <c r="A64" s="1161" t="s">
        <v>374</v>
      </c>
      <c r="B64" s="1162"/>
      <c r="C64" s="1163"/>
      <c r="D64" s="561"/>
      <c r="E64" s="614"/>
      <c r="F64" s="1170"/>
      <c r="G64" s="1171"/>
      <c r="H64" s="598"/>
      <c r="I64" s="614"/>
      <c r="J64" s="1170"/>
      <c r="K64" s="1171"/>
      <c r="L64" s="598"/>
      <c r="M64" s="614"/>
      <c r="N64" s="1170"/>
      <c r="O64" s="1171"/>
      <c r="P64" s="831"/>
      <c r="R64" s="582"/>
      <c r="T64" s="570">
        <f>IF(OR(E63="",F63=""),0,IF(((1+F63)/(1+$E$103))=1,$E$105,((1+F63)/(1+$E$103)*(((1+F63)/(1+$E$103))^$E$105-1))/((1+F63)/(1+$E$103)-1)))</f>
        <v>0</v>
      </c>
      <c r="X64" s="570">
        <f>IF(OR(I63="",J63=""),0,IF(((1+J63)/(1+$E$103))=1,$E$105,((1+J63)/(1+$E$103)*(((1+J63)/(1+$E$103))^$E$105-1))/((1+J63)/(1+$E$103)-1)))</f>
        <v>0</v>
      </c>
      <c r="AB64" s="570">
        <f>IF(OR(M63="",N63=""),0,IF(((1+N63)/(1+$E$103))=1,$E$105,((1+N63)/(1+$E$103)*(((1+N63)/(1+$E$103))^$E$105-1))/((1+N63)/(1+$E$103)-1)))</f>
        <v>0</v>
      </c>
      <c r="AQ64" s="582"/>
      <c r="AR64" s="582"/>
      <c r="AS64" s="582"/>
      <c r="AT64" s="582"/>
      <c r="AU64" s="582"/>
      <c r="AV64" s="582"/>
      <c r="AW64" s="582"/>
      <c r="AX64" s="582"/>
      <c r="AY64" s="582"/>
      <c r="AZ64" s="582"/>
      <c r="BA64" s="582"/>
      <c r="BB64" s="582"/>
    </row>
    <row r="65" spans="1:55" ht="16.5" customHeight="1" x14ac:dyDescent="0.2">
      <c r="A65" s="1161" t="s">
        <v>374</v>
      </c>
      <c r="B65" s="1162"/>
      <c r="C65" s="1163"/>
      <c r="D65" s="561"/>
      <c r="E65" s="614"/>
      <c r="F65" s="1170"/>
      <c r="G65" s="1171"/>
      <c r="H65" s="598"/>
      <c r="I65" s="614"/>
      <c r="J65" s="1170"/>
      <c r="K65" s="1171"/>
      <c r="L65" s="598"/>
      <c r="M65" s="614"/>
      <c r="N65" s="1170"/>
      <c r="O65" s="1171"/>
      <c r="P65" s="831"/>
      <c r="R65" s="582"/>
      <c r="T65" s="570">
        <f>IF(OR(E64="",F64=""),0,IF(((1+F64)/(1+$E$103))=1,$E$105,((1+F64)/(1+$E$103)*(((1+F64)/(1+$E$103))^$E$105-1))/((1+F64)/(1+$E$103)-1)))</f>
        <v>0</v>
      </c>
      <c r="X65" s="570">
        <f>IF(OR(I64="",J64=""),0,IF(((1+J64)/(1+$E$103))=1,$E$105,((1+J64)/(1+$E$103)*(((1+J64)/(1+$E$103))^$E$105-1))/((1+J64)/(1+$E$103)-1)))</f>
        <v>0</v>
      </c>
      <c r="AB65" s="570">
        <f>IF(OR(M64="",N64=""),0,IF(((1+N64)/(1+$E$103))=1,$E$105,((1+N64)/(1+$E$103)*(((1+N64)/(1+$E$103))^$E$105-1))/((1+N64)/(1+$E$103)-1)))</f>
        <v>0</v>
      </c>
      <c r="AQ65" s="582"/>
      <c r="AR65" s="582"/>
      <c r="AS65" s="582"/>
      <c r="AT65" s="582"/>
      <c r="AU65" s="582"/>
      <c r="AV65" s="582"/>
      <c r="AW65" s="582"/>
      <c r="AX65" s="582"/>
      <c r="AY65" s="582"/>
      <c r="AZ65" s="582"/>
      <c r="BA65" s="582"/>
      <c r="BB65" s="582"/>
    </row>
    <row r="66" spans="1:55" ht="6" customHeight="1" x14ac:dyDescent="0.2">
      <c r="A66" s="560"/>
      <c r="B66" s="561"/>
      <c r="C66" s="561"/>
      <c r="D66" s="561"/>
      <c r="E66" s="561"/>
      <c r="F66" s="561"/>
      <c r="G66" s="561"/>
      <c r="H66" s="561"/>
      <c r="I66" s="561"/>
      <c r="J66" s="561"/>
      <c r="K66" s="561"/>
      <c r="L66" s="561"/>
      <c r="M66" s="561"/>
      <c r="N66" s="561"/>
      <c r="O66" s="561"/>
      <c r="P66" s="832"/>
      <c r="R66" s="582"/>
      <c r="T66" s="570">
        <f>IF(OR(E65="",F65=""),0,IF(((1+F65)/(1+$E$103))=1,$E$105,((1+F65)/(1+$E$103)*(((1+F65)/(1+$E$103))^$E$105-1))/((1+F65)/(1+$E$103)-1)))</f>
        <v>0</v>
      </c>
      <c r="X66" s="570">
        <f>IF(OR(I65="",J65=""),0,IF(((1+J65)/(1+$E$103))=1,$E$105,((1+J65)/(1+$E$103)*(((1+J65)/(1+$E$103))^$E$105-1))/((1+J65)/(1+$E$103)-1)))</f>
        <v>0</v>
      </c>
      <c r="AB66" s="570">
        <f>IF(OR(M65="",N65=""),0,IF(((1+N65)/(1+$E$103))=1,$E$105,((1+N65)/(1+$E$103)*(((1+N65)/(1+$E$103))^$E$105-1))/((1+N65)/(1+$E$103)-1)))</f>
        <v>0</v>
      </c>
      <c r="AQ66" s="582"/>
      <c r="AR66" s="582"/>
      <c r="AS66" s="582"/>
      <c r="AT66" s="582"/>
      <c r="AU66" s="582"/>
      <c r="AV66" s="582"/>
      <c r="AW66" s="582"/>
      <c r="AX66" s="582"/>
      <c r="AY66" s="582"/>
      <c r="AZ66" s="582"/>
      <c r="BA66" s="582"/>
      <c r="BB66" s="582"/>
    </row>
    <row r="67" spans="1:55" ht="19.5" customHeight="1" x14ac:dyDescent="0.2">
      <c r="A67" s="603" t="s">
        <v>312</v>
      </c>
      <c r="B67" s="561"/>
      <c r="C67" s="561"/>
      <c r="D67" s="561"/>
      <c r="E67" s="1168" t="str">
        <f>IF(T18=1,"",IF(E62="",0,E62)*T63+E63*T64+E64*T65+E65*T66)</f>
        <v/>
      </c>
      <c r="F67" s="1168"/>
      <c r="G67" s="1168"/>
      <c r="H67" s="561"/>
      <c r="I67" s="1168" t="str">
        <f>IF(X18=1,"",IF(I62="",0,I62)*X63+I63*X64+I64*X65+I65*X66)</f>
        <v/>
      </c>
      <c r="J67" s="1168"/>
      <c r="K67" s="1168"/>
      <c r="L67" s="561"/>
      <c r="M67" s="1168" t="str">
        <f>IF(AB18=1,"",IF(M62="",0,M62)*AB63+M63*AB64+M64*AB65+M65*AB66)</f>
        <v/>
      </c>
      <c r="N67" s="1168"/>
      <c r="O67" s="1168"/>
      <c r="P67" s="833"/>
      <c r="R67" s="582"/>
      <c r="AQ67" s="582"/>
      <c r="AR67" s="582"/>
      <c r="AS67" s="582"/>
      <c r="AT67" s="582"/>
      <c r="AU67" s="582"/>
      <c r="AV67" s="582"/>
      <c r="AW67" s="582"/>
      <c r="AX67" s="582"/>
      <c r="AY67" s="582"/>
      <c r="AZ67" s="582"/>
      <c r="BA67" s="582"/>
      <c r="BB67" s="582"/>
      <c r="BC67" s="582"/>
    </row>
    <row r="68" spans="1:55" ht="6.75" customHeight="1" x14ac:dyDescent="0.2">
      <c r="A68" s="644"/>
      <c r="B68" s="576"/>
      <c r="C68" s="576"/>
      <c r="D68" s="576"/>
      <c r="E68" s="576"/>
      <c r="F68" s="576"/>
      <c r="G68" s="576"/>
      <c r="H68" s="576"/>
      <c r="I68" s="576"/>
      <c r="J68" s="576"/>
      <c r="K68" s="576"/>
      <c r="L68" s="576"/>
      <c r="M68" s="576"/>
      <c r="N68" s="576"/>
      <c r="O68" s="576"/>
      <c r="P68" s="834"/>
      <c r="R68" s="582"/>
      <c r="AG68" s="582"/>
      <c r="AH68" s="582"/>
      <c r="AI68" s="582"/>
      <c r="AJ68" s="582"/>
      <c r="AK68" s="582"/>
      <c r="AQ68" s="582"/>
      <c r="AR68" s="582"/>
      <c r="AS68" s="582"/>
      <c r="AT68" s="582"/>
      <c r="AU68" s="582"/>
      <c r="AV68" s="582"/>
      <c r="AW68" s="582"/>
      <c r="AX68" s="582"/>
      <c r="AY68" s="582"/>
      <c r="AZ68" s="582"/>
      <c r="BA68" s="582"/>
      <c r="BB68" s="582"/>
      <c r="BC68" s="582"/>
    </row>
    <row r="69" spans="1:55" ht="18" customHeight="1" x14ac:dyDescent="0.2">
      <c r="A69" s="558">
        <v>5</v>
      </c>
      <c r="B69" s="1186" t="s">
        <v>313</v>
      </c>
      <c r="C69" s="1187"/>
      <c r="D69" s="1187"/>
      <c r="E69" s="1187"/>
      <c r="F69" s="1187"/>
      <c r="G69" s="1187"/>
      <c r="H69" s="1187"/>
      <c r="I69" s="1187"/>
      <c r="J69" s="1187"/>
      <c r="K69" s="1187"/>
      <c r="L69" s="1187"/>
      <c r="M69" s="1187"/>
      <c r="N69" s="1187"/>
      <c r="O69" s="1187"/>
      <c r="P69" s="1188"/>
      <c r="R69" s="582"/>
      <c r="AG69" s="582"/>
      <c r="AH69" s="582"/>
      <c r="AI69" s="582"/>
      <c r="AJ69" s="582"/>
      <c r="AK69" s="582"/>
      <c r="AL69" s="582"/>
      <c r="AM69" s="582"/>
      <c r="AN69" s="582"/>
      <c r="AQ69" s="582"/>
      <c r="AR69" s="582"/>
      <c r="AS69" s="582"/>
      <c r="AT69" s="582"/>
      <c r="AU69" s="582"/>
      <c r="AV69" s="582"/>
      <c r="AW69" s="582"/>
      <c r="AX69" s="582"/>
      <c r="AY69" s="582"/>
      <c r="AZ69" s="582"/>
      <c r="BA69" s="582"/>
      <c r="BB69" s="582"/>
      <c r="BC69" s="582"/>
    </row>
    <row r="70" spans="1:55" ht="6.75" customHeight="1" x14ac:dyDescent="0.2">
      <c r="A70" s="560"/>
      <c r="B70" s="561"/>
      <c r="C70" s="561"/>
      <c r="D70" s="561"/>
      <c r="E70" s="561"/>
      <c r="F70" s="561"/>
      <c r="G70" s="561"/>
      <c r="H70" s="561"/>
      <c r="I70" s="561"/>
      <c r="J70" s="561"/>
      <c r="K70" s="561"/>
      <c r="L70" s="561"/>
      <c r="M70" s="561"/>
      <c r="N70" s="561"/>
      <c r="O70" s="561"/>
      <c r="P70" s="593"/>
      <c r="R70" s="582"/>
      <c r="AG70" s="582"/>
      <c r="AH70" s="582"/>
      <c r="AI70" s="582"/>
      <c r="AJ70" s="582"/>
      <c r="AK70" s="582"/>
      <c r="AL70" s="582"/>
      <c r="AM70" s="582"/>
      <c r="AN70" s="582"/>
      <c r="AQ70" s="582"/>
      <c r="AR70" s="582"/>
      <c r="AS70" s="582"/>
      <c r="AT70" s="582"/>
      <c r="AU70" s="582"/>
      <c r="AV70" s="582"/>
      <c r="AW70" s="582"/>
      <c r="AX70" s="582"/>
      <c r="AY70" s="582"/>
      <c r="AZ70" s="582"/>
      <c r="BA70" s="582"/>
      <c r="BB70" s="582"/>
      <c r="BC70" s="582"/>
    </row>
    <row r="71" spans="1:55" ht="16.5" customHeight="1" x14ac:dyDescent="0.2">
      <c r="A71" s="560"/>
      <c r="B71" s="561"/>
      <c r="C71" s="561"/>
      <c r="D71" s="561"/>
      <c r="E71" s="1172" t="str">
        <f>U18</f>
        <v/>
      </c>
      <c r="F71" s="1172"/>
      <c r="G71" s="1172"/>
      <c r="H71" s="561"/>
      <c r="I71" s="1172" t="str">
        <f>Y18</f>
        <v/>
      </c>
      <c r="J71" s="1172"/>
      <c r="K71" s="1172"/>
      <c r="L71" s="561"/>
      <c r="M71" s="1172" t="str">
        <f>AC18</f>
        <v/>
      </c>
      <c r="N71" s="1172"/>
      <c r="O71" s="1172"/>
      <c r="P71" s="584"/>
      <c r="R71" s="582"/>
      <c r="AB71" s="557" t="s">
        <v>418</v>
      </c>
      <c r="AG71" s="557" t="s">
        <v>419</v>
      </c>
      <c r="AK71" s="582"/>
      <c r="AL71" s="582"/>
      <c r="AM71" s="582"/>
      <c r="AN71" s="582"/>
      <c r="AQ71" s="764" t="s">
        <v>379</v>
      </c>
      <c r="AR71" s="582"/>
      <c r="AS71" s="582"/>
      <c r="AT71" s="582"/>
      <c r="AU71" s="582"/>
      <c r="AV71" s="582"/>
      <c r="AW71" s="582"/>
      <c r="AX71" s="582"/>
      <c r="AY71" s="582"/>
      <c r="AZ71" s="582"/>
      <c r="BA71" s="582"/>
      <c r="BB71" s="582"/>
      <c r="BC71" s="582"/>
    </row>
    <row r="72" spans="1:55" ht="6.75" customHeight="1" x14ac:dyDescent="0.2">
      <c r="A72" s="560"/>
      <c r="B72" s="561"/>
      <c r="C72" s="561"/>
      <c r="D72" s="561"/>
      <c r="E72" s="561"/>
      <c r="F72" s="561"/>
      <c r="G72" s="561"/>
      <c r="H72" s="561"/>
      <c r="I72" s="561"/>
      <c r="J72" s="561"/>
      <c r="K72" s="561"/>
      <c r="L72" s="561"/>
      <c r="M72" s="561"/>
      <c r="N72" s="561"/>
      <c r="O72" s="561"/>
      <c r="P72" s="584"/>
      <c r="R72" s="582"/>
      <c r="AK72" s="582"/>
      <c r="AL72" s="582"/>
      <c r="AM72" s="582"/>
      <c r="AN72" s="582"/>
      <c r="AQ72" s="582"/>
      <c r="AR72" s="582"/>
      <c r="AS72" s="582"/>
      <c r="AT72" s="582"/>
      <c r="AU72" s="582"/>
      <c r="AV72" s="582"/>
      <c r="AW72" s="582"/>
      <c r="AX72" s="582"/>
      <c r="AY72" s="582"/>
      <c r="AZ72" s="582"/>
      <c r="BA72" s="582"/>
      <c r="BB72" s="582"/>
      <c r="BC72" s="582"/>
    </row>
    <row r="73" spans="1:55" ht="16.5" customHeight="1" x14ac:dyDescent="0.2">
      <c r="A73" s="596" t="s">
        <v>300</v>
      </c>
      <c r="B73" s="561"/>
      <c r="C73" s="561"/>
      <c r="D73" s="561"/>
      <c r="E73" s="709" t="str">
        <f>E34</f>
        <v/>
      </c>
      <c r="F73" s="707"/>
      <c r="G73" s="708"/>
      <c r="H73" s="629"/>
      <c r="I73" s="706" t="str">
        <f>I34</f>
        <v/>
      </c>
      <c r="J73" s="707"/>
      <c r="K73" s="708"/>
      <c r="L73" s="629"/>
      <c r="M73" s="706" t="str">
        <f>M34</f>
        <v/>
      </c>
      <c r="N73" s="707"/>
      <c r="O73" s="708"/>
      <c r="P73" s="592"/>
      <c r="R73" s="582"/>
      <c r="AB73" s="577" t="e">
        <f>RANK(AC73,$AC$73:$AC$75,1)</f>
        <v>#VALUE!</v>
      </c>
      <c r="AC73" s="578" t="str">
        <f>E77</f>
        <v/>
      </c>
      <c r="AD73" s="557" t="str">
        <f>IF(T18=1,"",VLOOKUP(T18,$AG$21:$AH$31,2,FALSE))</f>
        <v/>
      </c>
      <c r="AF73" s="557" t="s">
        <v>314</v>
      </c>
      <c r="AG73" s="873" t="e">
        <f>RANK(AH73,$AH$73:$AH$75,1)</f>
        <v>#VALUE!</v>
      </c>
      <c r="AH73" s="872" t="str">
        <f>AU95</f>
        <v/>
      </c>
      <c r="AI73" s="557" t="str">
        <f>AD73</f>
        <v/>
      </c>
      <c r="AK73" s="582"/>
      <c r="AL73" s="582"/>
      <c r="AM73" s="582"/>
      <c r="AN73" s="582"/>
      <c r="AQ73" s="717" t="s">
        <v>315</v>
      </c>
      <c r="AR73" s="765" t="str">
        <f>IF(T18=1,"",(E77-E73)/$E$105)</f>
        <v/>
      </c>
      <c r="AS73" s="765" t="str">
        <f>IF(X18=1,"",(I77-I73)/$E$105)</f>
        <v/>
      </c>
      <c r="AT73" s="765" t="str">
        <f>IF(AB18=1,"",(M77-M73)/$E$105)</f>
        <v/>
      </c>
      <c r="AU73" s="582"/>
      <c r="AV73" s="582"/>
      <c r="AW73" s="582"/>
      <c r="AX73" s="582"/>
      <c r="AY73" s="582"/>
      <c r="AZ73" s="582"/>
      <c r="BA73" s="582"/>
      <c r="BB73" s="582"/>
      <c r="BC73" s="582"/>
    </row>
    <row r="74" spans="1:55" ht="16.5" customHeight="1" x14ac:dyDescent="0.2">
      <c r="A74" s="596" t="s">
        <v>307</v>
      </c>
      <c r="B74" s="561"/>
      <c r="C74" s="561"/>
      <c r="D74" s="561"/>
      <c r="E74" s="709" t="str">
        <f>E54</f>
        <v/>
      </c>
      <c r="F74" s="707"/>
      <c r="G74" s="708"/>
      <c r="H74" s="630"/>
      <c r="I74" s="706" t="str">
        <f>I54</f>
        <v/>
      </c>
      <c r="J74" s="707"/>
      <c r="K74" s="708"/>
      <c r="L74" s="630"/>
      <c r="M74" s="706" t="str">
        <f>M54</f>
        <v/>
      </c>
      <c r="N74" s="707"/>
      <c r="O74" s="708"/>
      <c r="P74" s="592"/>
      <c r="R74" s="582"/>
      <c r="AB74" s="577" t="e">
        <f>RANK(AC74,$AC$73:$AC$75,1)</f>
        <v>#VALUE!</v>
      </c>
      <c r="AC74" s="578" t="str">
        <f>I77</f>
        <v/>
      </c>
      <c r="AD74" s="557" t="str">
        <f>IF(X18=1,"",VLOOKUP(X18,$AG$21:$AH$31,2,FALSE))</f>
        <v/>
      </c>
      <c r="AG74" s="873" t="e">
        <f>RANK(AH74,$AH$73:$AH$75,1)</f>
        <v>#VALUE!</v>
      </c>
      <c r="AH74" s="872" t="str">
        <f>AV95</f>
        <v/>
      </c>
      <c r="AI74" s="557" t="str">
        <f>AD74</f>
        <v/>
      </c>
      <c r="AK74" s="582"/>
      <c r="AL74" s="582"/>
      <c r="AM74" s="582"/>
      <c r="AN74" s="582"/>
      <c r="AQ74" s="717" t="s">
        <v>191</v>
      </c>
      <c r="AR74" s="909" t="str">
        <f>AD73</f>
        <v/>
      </c>
      <c r="AS74" s="909" t="str">
        <f>AD74</f>
        <v/>
      </c>
      <c r="AT74" s="909" t="str">
        <f>AD75</f>
        <v>Kein System gewählt</v>
      </c>
      <c r="AU74" s="910" t="str">
        <f>AR133</f>
        <v/>
      </c>
      <c r="AV74" s="910" t="str">
        <f>AS133</f>
        <v/>
      </c>
      <c r="AW74" s="910" t="str">
        <f>AT133</f>
        <v/>
      </c>
      <c r="AX74" s="582"/>
      <c r="AY74" s="582"/>
      <c r="AZ74" s="582"/>
      <c r="BA74" s="582"/>
      <c r="BB74" s="582"/>
      <c r="BC74" s="582"/>
    </row>
    <row r="75" spans="1:55" ht="16.5" customHeight="1" x14ac:dyDescent="0.2">
      <c r="A75" s="596" t="s">
        <v>312</v>
      </c>
      <c r="B75" s="561"/>
      <c r="C75" s="561"/>
      <c r="D75" s="561"/>
      <c r="E75" s="709" t="str">
        <f>E67</f>
        <v/>
      </c>
      <c r="F75" s="707"/>
      <c r="G75" s="708"/>
      <c r="H75" s="630"/>
      <c r="I75" s="706" t="str">
        <f>I67</f>
        <v/>
      </c>
      <c r="J75" s="707"/>
      <c r="K75" s="708"/>
      <c r="L75" s="630"/>
      <c r="M75" s="706" t="str">
        <f>M67</f>
        <v/>
      </c>
      <c r="N75" s="707"/>
      <c r="O75" s="708"/>
      <c r="P75" s="592"/>
      <c r="R75" s="582"/>
      <c r="AB75" s="577" t="e">
        <f>RANK(AC75,$AC$73:$AC$75,1)</f>
        <v>#VALUE!</v>
      </c>
      <c r="AC75" s="578" t="str">
        <f>M77</f>
        <v/>
      </c>
      <c r="AD75" s="557" t="str">
        <f>IF(AB18=1,"Kein System gewählt",VLOOKUP(AB18,$AG$21:$AH$32,2,FALSE))</f>
        <v>Kein System gewählt</v>
      </c>
      <c r="AG75" s="873" t="e">
        <f>RANK(AH75,$AH$73:$AH$75,1)</f>
        <v>#VALUE!</v>
      </c>
      <c r="AH75" s="872" t="str">
        <f>AW95</f>
        <v/>
      </c>
      <c r="AI75" s="557" t="str">
        <f>AD75</f>
        <v>Kein System gewählt</v>
      </c>
      <c r="AK75" s="582"/>
      <c r="AL75" s="582"/>
      <c r="AM75" s="582"/>
      <c r="AN75" s="582"/>
      <c r="AQ75" s="909">
        <v>0</v>
      </c>
      <c r="AR75" s="911" t="str">
        <f>E73</f>
        <v/>
      </c>
      <c r="AS75" s="911" t="str">
        <f>I73</f>
        <v/>
      </c>
      <c r="AT75" s="911" t="str">
        <f>M73</f>
        <v/>
      </c>
      <c r="AU75" s="912" t="str">
        <f>IF(T18=1,"",AR139)</f>
        <v/>
      </c>
      <c r="AV75" s="912" t="str">
        <f>IF(X18=1,"",AS139)</f>
        <v/>
      </c>
      <c r="AW75" s="912" t="str">
        <f>IF(AB18=1,"",AT139)</f>
        <v/>
      </c>
      <c r="AX75" s="582"/>
      <c r="AY75" s="582"/>
      <c r="AZ75" s="582"/>
      <c r="BA75" s="582"/>
      <c r="BB75" s="582"/>
      <c r="BC75" s="582"/>
    </row>
    <row r="76" spans="1:55" ht="6" customHeight="1" x14ac:dyDescent="0.2">
      <c r="A76" s="560"/>
      <c r="B76" s="561"/>
      <c r="C76" s="561"/>
      <c r="D76" s="561"/>
      <c r="E76" s="561"/>
      <c r="F76" s="561"/>
      <c r="G76" s="561"/>
      <c r="H76" s="561"/>
      <c r="I76" s="561"/>
      <c r="J76" s="561"/>
      <c r="K76" s="561"/>
      <c r="L76" s="561"/>
      <c r="M76" s="561"/>
      <c r="N76" s="561"/>
      <c r="O76" s="561"/>
      <c r="P76" s="584"/>
      <c r="R76" s="582"/>
      <c r="AK76" s="582"/>
      <c r="AL76" s="582"/>
      <c r="AM76" s="582"/>
      <c r="AN76" s="582"/>
      <c r="AQ76" s="909">
        <f t="shared" ref="AQ76:AQ95" si="1">IF(AQ75="","",IF((1+AQ75)&gt;$E$105,"",1+AQ75))</f>
        <v>1</v>
      </c>
      <c r="AR76" s="911" t="str">
        <f t="shared" ref="AR76:AR95" si="2">IF(AR73="","",IF(AQ76="","",AR75+$AR$73))</f>
        <v/>
      </c>
      <c r="AS76" s="911" t="str">
        <f t="shared" ref="AS76:AS95" si="3">IF($AS$73="","",IF(AQ76="","",AS75+$AS$73))</f>
        <v/>
      </c>
      <c r="AT76" s="911" t="str">
        <f t="shared" ref="AT76:AT95" si="4">IF($AT$73="","",IF(AQ76="","",AT75+$AT$73))</f>
        <v/>
      </c>
      <c r="AU76" s="912" t="str">
        <f>IF(T18=1,"",AU75+$AU$75)</f>
        <v/>
      </c>
      <c r="AV76" s="912" t="str">
        <f>IF(X$18=1,"",AV75+$AV$75)</f>
        <v/>
      </c>
      <c r="AW76" s="912" t="str">
        <f>IF(AB$18=1,"",AW75+$AW$75)</f>
        <v/>
      </c>
      <c r="AX76" s="582"/>
      <c r="AY76" s="582"/>
      <c r="AZ76" s="582"/>
      <c r="BA76" s="582"/>
      <c r="BB76" s="582"/>
      <c r="BC76" s="582"/>
    </row>
    <row r="77" spans="1:55" ht="29.25" customHeight="1" x14ac:dyDescent="0.25">
      <c r="A77" s="1164" t="s">
        <v>363</v>
      </c>
      <c r="B77" s="1165"/>
      <c r="C77" s="1166"/>
      <c r="D77" s="705"/>
      <c r="E77" s="710" t="str">
        <f>IF(T18=1,"",SUM(E73:G75))</f>
        <v/>
      </c>
      <c r="F77" s="711"/>
      <c r="G77" s="712"/>
      <c r="H77" s="561"/>
      <c r="I77" s="710" t="str">
        <f>IF(X18=1,"",SUM(I73:K75))</f>
        <v/>
      </c>
      <c r="J77" s="711"/>
      <c r="K77" s="712"/>
      <c r="L77" s="561"/>
      <c r="M77" s="710" t="str">
        <f>IF(AB18=1,"",SUM(M73:O75))</f>
        <v/>
      </c>
      <c r="N77" s="711"/>
      <c r="O77" s="712"/>
      <c r="P77" s="591"/>
      <c r="R77" s="582"/>
      <c r="S77" s="561"/>
      <c r="AK77" s="582"/>
      <c r="AL77" s="582"/>
      <c r="AM77" s="582"/>
      <c r="AN77" s="582"/>
      <c r="AQ77" s="909">
        <f t="shared" si="1"/>
        <v>2</v>
      </c>
      <c r="AR77" s="911" t="str">
        <f t="shared" si="2"/>
        <v/>
      </c>
      <c r="AS77" s="911" t="str">
        <f t="shared" si="3"/>
        <v/>
      </c>
      <c r="AT77" s="911" t="str">
        <f t="shared" si="4"/>
        <v/>
      </c>
      <c r="AU77" s="912" t="str">
        <f>IF(T$18=1,"",AU76+$AU$75)</f>
        <v/>
      </c>
      <c r="AV77" s="912" t="str">
        <f t="shared" ref="AV77:AV95" si="5">IF(X$18=1,"",AV76+$AV$75)</f>
        <v/>
      </c>
      <c r="AW77" s="912" t="str">
        <f t="shared" ref="AW77:AW95" si="6">IF(AB$18=1,"",AW76+$AW$75)</f>
        <v/>
      </c>
      <c r="AX77" s="582"/>
      <c r="AY77" s="582"/>
      <c r="AZ77" s="582"/>
      <c r="BA77" s="582"/>
      <c r="BB77" s="582"/>
      <c r="BC77" s="582"/>
    </row>
    <row r="78" spans="1:55" ht="4.5" customHeight="1" x14ac:dyDescent="0.2">
      <c r="A78" s="579"/>
      <c r="B78" s="561"/>
      <c r="C78" s="561"/>
      <c r="D78" s="561"/>
      <c r="E78" s="561"/>
      <c r="F78" s="561"/>
      <c r="G78" s="561"/>
      <c r="H78" s="561"/>
      <c r="I78" s="561"/>
      <c r="J78" s="561"/>
      <c r="K78" s="561"/>
      <c r="L78" s="561"/>
      <c r="M78" s="561"/>
      <c r="N78" s="561"/>
      <c r="O78" s="561"/>
      <c r="P78" s="584"/>
      <c r="R78" s="582"/>
      <c r="S78" s="582"/>
      <c r="T78" s="582"/>
      <c r="U78" s="582"/>
      <c r="V78" s="582"/>
      <c r="W78" s="582"/>
      <c r="X78" s="582"/>
      <c r="Y78" s="582"/>
      <c r="Z78" s="582"/>
      <c r="AA78" s="582"/>
      <c r="AB78" s="582"/>
      <c r="AC78" s="582"/>
      <c r="AD78" s="582"/>
      <c r="AE78" s="582"/>
      <c r="AF78" s="582"/>
      <c r="AK78" s="582"/>
      <c r="AL78" s="582"/>
      <c r="AM78" s="582"/>
      <c r="AN78" s="582"/>
      <c r="AQ78" s="909">
        <f t="shared" si="1"/>
        <v>3</v>
      </c>
      <c r="AR78" s="911" t="str">
        <f t="shared" si="2"/>
        <v/>
      </c>
      <c r="AS78" s="911" t="str">
        <f t="shared" si="3"/>
        <v/>
      </c>
      <c r="AT78" s="911" t="str">
        <f t="shared" si="4"/>
        <v/>
      </c>
      <c r="AU78" s="912" t="str">
        <f>IF(T$18=1,"",AU77+$AU$75)</f>
        <v/>
      </c>
      <c r="AV78" s="912" t="str">
        <f t="shared" si="5"/>
        <v/>
      </c>
      <c r="AW78" s="912" t="str">
        <f t="shared" si="6"/>
        <v/>
      </c>
      <c r="AX78" s="582"/>
      <c r="AY78" s="582"/>
      <c r="AZ78" s="582"/>
      <c r="BA78" s="582"/>
      <c r="BB78" s="582"/>
      <c r="BC78" s="582"/>
    </row>
    <row r="79" spans="1:55" ht="20.25" customHeight="1" x14ac:dyDescent="0.2">
      <c r="A79" s="878" t="s">
        <v>364</v>
      </c>
      <c r="B79" s="875"/>
      <c r="C79" s="876"/>
      <c r="D79" s="561"/>
      <c r="E79" s="877" t="str">
        <f>IF(T18=1,"",E77/20)</f>
        <v/>
      </c>
      <c r="F79" s="875"/>
      <c r="G79" s="876"/>
      <c r="H79" s="561"/>
      <c r="I79" s="877" t="str">
        <f>IF(X18=1,"",I77/20)</f>
        <v/>
      </c>
      <c r="J79" s="875"/>
      <c r="K79" s="876"/>
      <c r="L79" s="561"/>
      <c r="M79" s="877" t="str">
        <f>IF(AB18=1,"",M77/20)</f>
        <v/>
      </c>
      <c r="N79" s="875"/>
      <c r="O79" s="876"/>
      <c r="P79" s="584"/>
      <c r="R79" s="582"/>
      <c r="S79" s="582"/>
      <c r="T79" s="582"/>
      <c r="U79" s="582"/>
      <c r="V79" s="582"/>
      <c r="W79" s="582"/>
      <c r="X79" s="582"/>
      <c r="Y79" s="582"/>
      <c r="Z79" s="582"/>
      <c r="AA79" s="582"/>
      <c r="AB79" s="582"/>
      <c r="AC79" s="582"/>
      <c r="AD79" s="582"/>
      <c r="AE79" s="582"/>
      <c r="AF79" s="582"/>
      <c r="AK79" s="582"/>
      <c r="AL79" s="582"/>
      <c r="AM79" s="582"/>
      <c r="AN79" s="582"/>
      <c r="AQ79" s="909">
        <f t="shared" si="1"/>
        <v>4</v>
      </c>
      <c r="AR79" s="911" t="str">
        <f t="shared" si="2"/>
        <v/>
      </c>
      <c r="AS79" s="911" t="str">
        <f t="shared" si="3"/>
        <v/>
      </c>
      <c r="AT79" s="911" t="str">
        <f t="shared" si="4"/>
        <v/>
      </c>
      <c r="AU79" s="912" t="str">
        <f>IF(T$18=1,"",AU78+$AU$75)</f>
        <v/>
      </c>
      <c r="AV79" s="912" t="str">
        <f t="shared" si="5"/>
        <v/>
      </c>
      <c r="AW79" s="912" t="str">
        <f t="shared" si="6"/>
        <v/>
      </c>
      <c r="AX79" s="582"/>
      <c r="AY79" s="582"/>
      <c r="AZ79" s="582"/>
      <c r="BA79" s="582"/>
      <c r="BB79" s="582"/>
      <c r="BC79" s="582"/>
    </row>
    <row r="80" spans="1:55" ht="8.25" customHeight="1" x14ac:dyDescent="0.2">
      <c r="A80" s="563"/>
      <c r="B80" s="561"/>
      <c r="C80" s="561"/>
      <c r="D80" s="561"/>
      <c r="E80" s="1167"/>
      <c r="F80" s="1167"/>
      <c r="G80" s="1167"/>
      <c r="H80" s="561"/>
      <c r="I80" s="1167"/>
      <c r="J80" s="1167"/>
      <c r="K80" s="1167"/>
      <c r="L80" s="561"/>
      <c r="M80" s="1167"/>
      <c r="N80" s="1167"/>
      <c r="O80" s="1167"/>
      <c r="P80" s="584"/>
      <c r="R80" s="582"/>
      <c r="S80" s="582"/>
      <c r="T80" s="582"/>
      <c r="U80" s="582"/>
      <c r="V80" s="582"/>
      <c r="W80" s="582"/>
      <c r="X80" s="582"/>
      <c r="Y80" s="582"/>
      <c r="Z80" s="582"/>
      <c r="AA80" s="582"/>
      <c r="AB80" s="582"/>
      <c r="AC80" s="582"/>
      <c r="AD80" s="582"/>
      <c r="AE80" s="582"/>
      <c r="AF80" s="582"/>
      <c r="AK80" s="582"/>
      <c r="AL80" s="582"/>
      <c r="AM80" s="582"/>
      <c r="AN80" s="582"/>
      <c r="AQ80" s="909">
        <f t="shared" si="1"/>
        <v>5</v>
      </c>
      <c r="AR80" s="911" t="str">
        <f t="shared" si="2"/>
        <v/>
      </c>
      <c r="AS80" s="911" t="str">
        <f t="shared" si="3"/>
        <v/>
      </c>
      <c r="AT80" s="911" t="str">
        <f t="shared" si="4"/>
        <v/>
      </c>
      <c r="AU80" s="912" t="str">
        <f t="shared" ref="AU80:AU95" si="7">IF(T$18=1,"",AU79+$AU$75)</f>
        <v/>
      </c>
      <c r="AV80" s="912" t="str">
        <f t="shared" si="5"/>
        <v/>
      </c>
      <c r="AW80" s="912" t="str">
        <f t="shared" si="6"/>
        <v/>
      </c>
      <c r="AX80" s="582"/>
      <c r="AY80" s="582"/>
      <c r="AZ80" s="582"/>
      <c r="BA80" s="582"/>
      <c r="BB80" s="582"/>
      <c r="BC80" s="582"/>
    </row>
    <row r="81" spans="1:55" ht="21.75" customHeight="1" x14ac:dyDescent="0.25">
      <c r="A81" s="893"/>
      <c r="B81" s="894"/>
      <c r="C81" s="1196" t="e">
        <f>"Das wirtschaftlichste System bei einer "&amp;E105&amp;"-jährigen Betrachtung ist: ''"&amp;VLOOKUP(1,AB73:AD75,3,FALSE)&amp;"''"</f>
        <v>#N/A</v>
      </c>
      <c r="D81" s="1196"/>
      <c r="E81" s="1196"/>
      <c r="F81" s="1196"/>
      <c r="G81" s="1196"/>
      <c r="H81" s="1196"/>
      <c r="I81" s="1196"/>
      <c r="J81" s="1196"/>
      <c r="K81" s="1196"/>
      <c r="L81" s="1196"/>
      <c r="M81" s="1196"/>
      <c r="N81" s="894"/>
      <c r="O81" s="894"/>
      <c r="P81" s="895"/>
      <c r="R81" s="582"/>
      <c r="S81" s="582"/>
      <c r="T81" s="582"/>
      <c r="U81" s="582"/>
      <c r="V81" s="582"/>
      <c r="W81" s="582"/>
      <c r="X81" s="582"/>
      <c r="Y81" s="582"/>
      <c r="Z81" s="582"/>
      <c r="AA81" s="582"/>
      <c r="AB81" s="582"/>
      <c r="AC81" s="582"/>
      <c r="AD81" s="582"/>
      <c r="AE81" s="582"/>
      <c r="AF81" s="582"/>
      <c r="AK81" s="582"/>
      <c r="AL81" s="582"/>
      <c r="AM81" s="582"/>
      <c r="AN81" s="582"/>
      <c r="AQ81" s="909">
        <f t="shared" si="1"/>
        <v>6</v>
      </c>
      <c r="AR81" s="911" t="str">
        <f t="shared" si="2"/>
        <v/>
      </c>
      <c r="AS81" s="911" t="str">
        <f t="shared" si="3"/>
        <v/>
      </c>
      <c r="AT81" s="911" t="str">
        <f t="shared" si="4"/>
        <v/>
      </c>
      <c r="AU81" s="912" t="str">
        <f t="shared" si="7"/>
        <v/>
      </c>
      <c r="AV81" s="912" t="str">
        <f t="shared" si="5"/>
        <v/>
      </c>
      <c r="AW81" s="912" t="str">
        <f t="shared" si="6"/>
        <v/>
      </c>
      <c r="AX81" s="582"/>
      <c r="AY81" s="582"/>
      <c r="AZ81" s="582"/>
      <c r="BA81" s="582"/>
      <c r="BB81" s="582"/>
      <c r="BC81" s="582"/>
    </row>
    <row r="82" spans="1:55" ht="19.5" customHeight="1" x14ac:dyDescent="0.25">
      <c r="A82" s="893"/>
      <c r="B82" s="894"/>
      <c r="C82" s="1196" t="e">
        <f>"Das klimafreundlichste System ist: ''"&amp;VLOOKUP(1,AG73:AI75,3,FALSE)&amp;"''"</f>
        <v>#N/A</v>
      </c>
      <c r="D82" s="1196"/>
      <c r="E82" s="1196"/>
      <c r="F82" s="1196"/>
      <c r="G82" s="1196"/>
      <c r="H82" s="1196"/>
      <c r="I82" s="1196"/>
      <c r="J82" s="1196"/>
      <c r="K82" s="1196"/>
      <c r="L82" s="1196"/>
      <c r="M82" s="1196"/>
      <c r="N82" s="894"/>
      <c r="O82" s="894"/>
      <c r="P82" s="895"/>
      <c r="R82" s="582"/>
      <c r="S82" s="582"/>
      <c r="T82" s="582"/>
      <c r="U82" s="582"/>
      <c r="V82" s="582"/>
      <c r="W82" s="582"/>
      <c r="X82" s="582"/>
      <c r="Y82" s="582"/>
      <c r="Z82" s="582"/>
      <c r="AA82" s="582"/>
      <c r="AB82" s="582"/>
      <c r="AC82" s="582"/>
      <c r="AD82" s="582"/>
      <c r="AE82" s="582"/>
      <c r="AF82" s="582"/>
      <c r="AK82" s="582"/>
      <c r="AL82" s="582"/>
      <c r="AM82" s="582"/>
      <c r="AN82" s="582"/>
      <c r="AQ82" s="909">
        <f t="shared" si="1"/>
        <v>7</v>
      </c>
      <c r="AR82" s="911" t="str">
        <f t="shared" si="2"/>
        <v/>
      </c>
      <c r="AS82" s="911" t="str">
        <f t="shared" si="3"/>
        <v/>
      </c>
      <c r="AT82" s="911" t="str">
        <f t="shared" si="4"/>
        <v/>
      </c>
      <c r="AU82" s="912" t="str">
        <f t="shared" si="7"/>
        <v/>
      </c>
      <c r="AV82" s="912" t="str">
        <f t="shared" si="5"/>
        <v/>
      </c>
      <c r="AW82" s="912" t="str">
        <f t="shared" si="6"/>
        <v/>
      </c>
      <c r="AX82" s="582"/>
      <c r="AY82" s="582"/>
      <c r="AZ82" s="582"/>
      <c r="BA82" s="582"/>
      <c r="BB82" s="582"/>
      <c r="BC82" s="582"/>
    </row>
    <row r="83" spans="1:55" ht="163.5" customHeight="1" x14ac:dyDescent="0.2">
      <c r="A83" s="560"/>
      <c r="B83" s="561"/>
      <c r="C83" s="561"/>
      <c r="D83" s="561"/>
      <c r="E83" s="561"/>
      <c r="F83" s="561"/>
      <c r="G83" s="561"/>
      <c r="H83" s="561"/>
      <c r="I83" s="561"/>
      <c r="J83" s="561"/>
      <c r="K83" s="561"/>
      <c r="L83" s="561"/>
      <c r="M83" s="561"/>
      <c r="N83" s="561"/>
      <c r="O83" s="561"/>
      <c r="P83" s="584"/>
      <c r="Z83" s="582"/>
      <c r="AA83" s="582"/>
      <c r="AB83" s="582"/>
      <c r="AC83" s="582"/>
      <c r="AD83" s="582"/>
      <c r="AE83" s="582"/>
      <c r="AF83" s="582"/>
      <c r="AK83" s="582"/>
      <c r="AL83" s="582"/>
      <c r="AM83" s="582"/>
      <c r="AN83" s="582"/>
      <c r="AO83" s="582"/>
      <c r="AP83" s="582"/>
      <c r="AQ83" s="909">
        <f t="shared" si="1"/>
        <v>8</v>
      </c>
      <c r="AR83" s="911" t="str">
        <f t="shared" si="2"/>
        <v/>
      </c>
      <c r="AS83" s="911" t="str">
        <f t="shared" si="3"/>
        <v/>
      </c>
      <c r="AT83" s="911" t="str">
        <f t="shared" si="4"/>
        <v/>
      </c>
      <c r="AU83" s="912" t="str">
        <f t="shared" si="7"/>
        <v/>
      </c>
      <c r="AV83" s="912" t="str">
        <f t="shared" si="5"/>
        <v/>
      </c>
      <c r="AW83" s="912" t="str">
        <f t="shared" si="6"/>
        <v/>
      </c>
      <c r="AX83" s="582"/>
      <c r="AY83" s="582"/>
      <c r="AZ83" s="582"/>
      <c r="BA83" s="582"/>
      <c r="BB83" s="582"/>
      <c r="BC83" s="582"/>
    </row>
    <row r="84" spans="1:55" x14ac:dyDescent="0.2">
      <c r="A84" s="560"/>
      <c r="B84" s="561"/>
      <c r="C84" s="561"/>
      <c r="D84" s="561"/>
      <c r="E84" s="561"/>
      <c r="F84" s="561"/>
      <c r="G84" s="561"/>
      <c r="H84" s="561"/>
      <c r="I84" s="561"/>
      <c r="J84" s="561"/>
      <c r="K84" s="561"/>
      <c r="L84" s="561"/>
      <c r="M84" s="561"/>
      <c r="N84" s="561"/>
      <c r="O84" s="561"/>
      <c r="P84" s="584"/>
      <c r="Z84" s="582"/>
      <c r="AA84" s="582"/>
      <c r="AB84" s="582"/>
      <c r="AC84" s="582"/>
      <c r="AD84" s="582"/>
      <c r="AE84" s="582"/>
      <c r="AF84" s="582"/>
      <c r="AK84" s="582"/>
      <c r="AL84" s="582"/>
      <c r="AM84" s="582"/>
      <c r="AN84" s="582"/>
      <c r="AO84" s="582"/>
      <c r="AP84" s="582"/>
      <c r="AQ84" s="909">
        <f t="shared" si="1"/>
        <v>9</v>
      </c>
      <c r="AR84" s="911" t="str">
        <f t="shared" si="2"/>
        <v/>
      </c>
      <c r="AS84" s="911" t="str">
        <f t="shared" si="3"/>
        <v/>
      </c>
      <c r="AT84" s="911" t="str">
        <f t="shared" si="4"/>
        <v/>
      </c>
      <c r="AU84" s="912" t="str">
        <f t="shared" si="7"/>
        <v/>
      </c>
      <c r="AV84" s="912" t="str">
        <f t="shared" si="5"/>
        <v/>
      </c>
      <c r="AW84" s="912" t="str">
        <f t="shared" si="6"/>
        <v/>
      </c>
      <c r="AX84" s="582"/>
      <c r="AY84" s="582"/>
      <c r="AZ84" s="582"/>
      <c r="BA84" s="582"/>
      <c r="BB84" s="582"/>
      <c r="BC84" s="582"/>
    </row>
    <row r="85" spans="1:55" x14ac:dyDescent="0.2">
      <c r="A85" s="560"/>
      <c r="B85" s="561"/>
      <c r="C85" s="561"/>
      <c r="D85" s="561"/>
      <c r="E85" s="561"/>
      <c r="F85" s="561"/>
      <c r="G85" s="561"/>
      <c r="H85" s="561"/>
      <c r="I85" s="561"/>
      <c r="J85" s="561"/>
      <c r="K85" s="561"/>
      <c r="L85" s="561"/>
      <c r="M85" s="561"/>
      <c r="N85" s="561"/>
      <c r="O85" s="561"/>
      <c r="P85" s="584"/>
      <c r="Z85" s="582"/>
      <c r="AA85" s="582"/>
      <c r="AB85" s="582"/>
      <c r="AC85" s="582"/>
      <c r="AD85" s="582"/>
      <c r="AE85" s="582"/>
      <c r="AF85" s="582"/>
      <c r="AK85" s="582"/>
      <c r="AL85" s="582"/>
      <c r="AM85" s="582"/>
      <c r="AN85" s="582"/>
      <c r="AO85" s="582"/>
      <c r="AP85" s="582"/>
      <c r="AQ85" s="909">
        <f t="shared" si="1"/>
        <v>10</v>
      </c>
      <c r="AR85" s="911" t="str">
        <f t="shared" si="2"/>
        <v/>
      </c>
      <c r="AS85" s="911" t="str">
        <f t="shared" si="3"/>
        <v/>
      </c>
      <c r="AT85" s="911" t="str">
        <f t="shared" si="4"/>
        <v/>
      </c>
      <c r="AU85" s="912" t="str">
        <f t="shared" si="7"/>
        <v/>
      </c>
      <c r="AV85" s="912" t="str">
        <f t="shared" si="5"/>
        <v/>
      </c>
      <c r="AW85" s="912" t="str">
        <f t="shared" si="6"/>
        <v/>
      </c>
      <c r="AX85" s="582"/>
      <c r="AY85" s="582"/>
      <c r="AZ85" s="582"/>
      <c r="BA85" s="582"/>
      <c r="BB85" s="582"/>
      <c r="BC85" s="582"/>
    </row>
    <row r="86" spans="1:55" x14ac:dyDescent="0.2">
      <c r="A86" s="560"/>
      <c r="B86" s="561"/>
      <c r="C86" s="561"/>
      <c r="D86" s="561"/>
      <c r="E86" s="561"/>
      <c r="F86" s="561"/>
      <c r="G86" s="561"/>
      <c r="H86" s="561"/>
      <c r="I86" s="561"/>
      <c r="J86" s="561"/>
      <c r="K86" s="561"/>
      <c r="L86" s="561"/>
      <c r="M86" s="561"/>
      <c r="N86" s="561"/>
      <c r="O86" s="561"/>
      <c r="P86" s="584"/>
      <c r="Z86" s="582"/>
      <c r="AA86" s="582"/>
      <c r="AB86" s="582"/>
      <c r="AC86" s="582"/>
      <c r="AD86" s="582"/>
      <c r="AE86" s="582"/>
      <c r="AF86" s="582"/>
      <c r="AK86" s="582"/>
      <c r="AL86" s="582"/>
      <c r="AM86" s="582"/>
      <c r="AN86" s="582"/>
      <c r="AO86" s="582"/>
      <c r="AP86" s="582"/>
      <c r="AQ86" s="909">
        <f t="shared" si="1"/>
        <v>11</v>
      </c>
      <c r="AR86" s="911" t="str">
        <f t="shared" si="2"/>
        <v/>
      </c>
      <c r="AS86" s="911" t="str">
        <f t="shared" si="3"/>
        <v/>
      </c>
      <c r="AT86" s="911" t="str">
        <f t="shared" si="4"/>
        <v/>
      </c>
      <c r="AU86" s="912" t="str">
        <f t="shared" si="7"/>
        <v/>
      </c>
      <c r="AV86" s="912" t="str">
        <f t="shared" si="5"/>
        <v/>
      </c>
      <c r="AW86" s="912" t="str">
        <f t="shared" si="6"/>
        <v/>
      </c>
      <c r="AX86" s="582"/>
      <c r="AY86" s="582"/>
      <c r="AZ86" s="582"/>
      <c r="BA86" s="582"/>
      <c r="BB86" s="582"/>
      <c r="BC86" s="582"/>
    </row>
    <row r="87" spans="1:55" x14ac:dyDescent="0.2">
      <c r="A87" s="560"/>
      <c r="B87" s="561"/>
      <c r="C87" s="561"/>
      <c r="D87" s="561"/>
      <c r="E87" s="561"/>
      <c r="F87" s="561"/>
      <c r="G87" s="561"/>
      <c r="H87" s="561"/>
      <c r="I87" s="561"/>
      <c r="J87" s="561"/>
      <c r="K87" s="561"/>
      <c r="L87" s="561"/>
      <c r="M87" s="561"/>
      <c r="N87" s="561"/>
      <c r="O87" s="561"/>
      <c r="P87" s="584"/>
      <c r="Z87" s="582"/>
      <c r="AA87" s="582"/>
      <c r="AB87" s="582"/>
      <c r="AC87" s="582"/>
      <c r="AD87" s="582"/>
      <c r="AE87" s="582"/>
      <c r="AF87" s="582"/>
      <c r="AK87" s="582"/>
      <c r="AL87" s="582"/>
      <c r="AM87" s="582"/>
      <c r="AN87" s="582"/>
      <c r="AO87" s="582"/>
      <c r="AP87" s="582"/>
      <c r="AQ87" s="909">
        <f t="shared" si="1"/>
        <v>12</v>
      </c>
      <c r="AR87" s="911" t="str">
        <f t="shared" si="2"/>
        <v/>
      </c>
      <c r="AS87" s="911" t="str">
        <f t="shared" si="3"/>
        <v/>
      </c>
      <c r="AT87" s="911" t="str">
        <f t="shared" si="4"/>
        <v/>
      </c>
      <c r="AU87" s="912" t="str">
        <f t="shared" si="7"/>
        <v/>
      </c>
      <c r="AV87" s="912" t="str">
        <f t="shared" si="5"/>
        <v/>
      </c>
      <c r="AW87" s="912" t="str">
        <f t="shared" si="6"/>
        <v/>
      </c>
      <c r="AX87" s="582"/>
      <c r="AY87" s="582"/>
      <c r="AZ87" s="582"/>
      <c r="BA87" s="582"/>
      <c r="BB87" s="582"/>
      <c r="BC87" s="582"/>
    </row>
    <row r="88" spans="1:55" x14ac:dyDescent="0.2">
      <c r="A88" s="560"/>
      <c r="B88" s="561"/>
      <c r="C88" s="561"/>
      <c r="D88" s="561"/>
      <c r="E88" s="561"/>
      <c r="F88" s="561"/>
      <c r="G88" s="561"/>
      <c r="H88" s="561"/>
      <c r="I88" s="561"/>
      <c r="J88" s="561"/>
      <c r="K88" s="561"/>
      <c r="L88" s="561"/>
      <c r="M88" s="561"/>
      <c r="N88" s="561"/>
      <c r="O88" s="561"/>
      <c r="P88" s="584"/>
      <c r="Z88" s="582"/>
      <c r="AA88" s="582"/>
      <c r="AB88" s="582"/>
      <c r="AC88" s="582"/>
      <c r="AD88" s="582"/>
      <c r="AE88" s="582"/>
      <c r="AF88" s="582"/>
      <c r="AK88" s="582"/>
      <c r="AL88" s="582"/>
      <c r="AM88" s="582"/>
      <c r="AN88" s="582"/>
      <c r="AO88" s="582"/>
      <c r="AP88" s="582"/>
      <c r="AQ88" s="909">
        <f t="shared" si="1"/>
        <v>13</v>
      </c>
      <c r="AR88" s="911" t="str">
        <f t="shared" si="2"/>
        <v/>
      </c>
      <c r="AS88" s="911" t="str">
        <f t="shared" si="3"/>
        <v/>
      </c>
      <c r="AT88" s="911" t="str">
        <f t="shared" si="4"/>
        <v/>
      </c>
      <c r="AU88" s="912" t="str">
        <f t="shared" si="7"/>
        <v/>
      </c>
      <c r="AV88" s="912" t="str">
        <f t="shared" si="5"/>
        <v/>
      </c>
      <c r="AW88" s="912" t="str">
        <f t="shared" si="6"/>
        <v/>
      </c>
      <c r="AX88" s="582"/>
      <c r="AY88" s="582"/>
      <c r="AZ88" s="582"/>
      <c r="BA88" s="582"/>
      <c r="BB88" s="582"/>
      <c r="BC88" s="582"/>
    </row>
    <row r="89" spans="1:55" x14ac:dyDescent="0.2">
      <c r="A89" s="560"/>
      <c r="B89" s="561"/>
      <c r="C89" s="561"/>
      <c r="D89" s="561"/>
      <c r="E89" s="561"/>
      <c r="F89" s="561"/>
      <c r="G89" s="561"/>
      <c r="H89" s="561"/>
      <c r="I89" s="561"/>
      <c r="J89" s="561"/>
      <c r="K89" s="561"/>
      <c r="L89" s="561"/>
      <c r="M89" s="561"/>
      <c r="N89" s="561"/>
      <c r="O89" s="561"/>
      <c r="P89" s="584"/>
      <c r="Z89" s="582"/>
      <c r="AA89" s="582"/>
      <c r="AB89" s="582"/>
      <c r="AC89" s="582"/>
      <c r="AD89" s="582"/>
      <c r="AE89" s="582"/>
      <c r="AF89" s="582"/>
      <c r="AK89" s="582"/>
      <c r="AL89" s="582"/>
      <c r="AM89" s="582"/>
      <c r="AN89" s="582"/>
      <c r="AO89" s="582"/>
      <c r="AP89" s="582"/>
      <c r="AQ89" s="909">
        <f t="shared" si="1"/>
        <v>14</v>
      </c>
      <c r="AR89" s="911" t="str">
        <f t="shared" si="2"/>
        <v/>
      </c>
      <c r="AS89" s="911" t="str">
        <f t="shared" si="3"/>
        <v/>
      </c>
      <c r="AT89" s="911" t="str">
        <f t="shared" si="4"/>
        <v/>
      </c>
      <c r="AU89" s="912" t="str">
        <f t="shared" si="7"/>
        <v/>
      </c>
      <c r="AV89" s="912" t="str">
        <f t="shared" si="5"/>
        <v/>
      </c>
      <c r="AW89" s="912" t="str">
        <f t="shared" si="6"/>
        <v/>
      </c>
      <c r="AX89" s="582"/>
      <c r="AY89" s="582"/>
      <c r="AZ89" s="582"/>
      <c r="BA89" s="582"/>
      <c r="BB89" s="582"/>
      <c r="BC89" s="582"/>
    </row>
    <row r="90" spans="1:55" x14ac:dyDescent="0.2">
      <c r="A90" s="560"/>
      <c r="B90" s="561"/>
      <c r="C90" s="561"/>
      <c r="D90" s="561"/>
      <c r="E90" s="561"/>
      <c r="F90" s="561"/>
      <c r="G90" s="561"/>
      <c r="H90" s="561"/>
      <c r="I90" s="561"/>
      <c r="J90" s="561"/>
      <c r="K90" s="561"/>
      <c r="L90" s="561"/>
      <c r="M90" s="561"/>
      <c r="N90" s="561"/>
      <c r="O90" s="561"/>
      <c r="P90" s="584"/>
      <c r="Z90" s="582"/>
      <c r="AA90" s="582"/>
      <c r="AB90" s="582"/>
      <c r="AC90" s="582"/>
      <c r="AD90" s="582"/>
      <c r="AE90" s="582"/>
      <c r="AF90" s="582"/>
      <c r="AK90" s="582"/>
      <c r="AL90" s="582"/>
      <c r="AM90" s="582"/>
      <c r="AN90" s="582"/>
      <c r="AO90" s="582"/>
      <c r="AP90" s="582"/>
      <c r="AQ90" s="909">
        <f t="shared" si="1"/>
        <v>15</v>
      </c>
      <c r="AR90" s="911" t="str">
        <f t="shared" si="2"/>
        <v/>
      </c>
      <c r="AS90" s="911" t="str">
        <f t="shared" si="3"/>
        <v/>
      </c>
      <c r="AT90" s="911" t="str">
        <f t="shared" si="4"/>
        <v/>
      </c>
      <c r="AU90" s="912" t="str">
        <f t="shared" si="7"/>
        <v/>
      </c>
      <c r="AV90" s="912" t="str">
        <f t="shared" si="5"/>
        <v/>
      </c>
      <c r="AW90" s="912" t="str">
        <f t="shared" si="6"/>
        <v/>
      </c>
      <c r="AX90" s="582"/>
      <c r="AY90" s="582"/>
      <c r="AZ90" s="582"/>
      <c r="BA90" s="582"/>
      <c r="BB90" s="582"/>
      <c r="BC90" s="582"/>
    </row>
    <row r="91" spans="1:55" x14ac:dyDescent="0.2">
      <c r="A91" s="560"/>
      <c r="B91" s="561"/>
      <c r="C91" s="561"/>
      <c r="D91" s="561"/>
      <c r="E91" s="561"/>
      <c r="F91" s="561"/>
      <c r="G91" s="561"/>
      <c r="H91" s="561"/>
      <c r="I91" s="561"/>
      <c r="J91" s="561"/>
      <c r="K91" s="561"/>
      <c r="L91" s="561"/>
      <c r="M91" s="561"/>
      <c r="N91" s="561"/>
      <c r="O91" s="561"/>
      <c r="P91" s="584"/>
      <c r="Z91" s="582"/>
      <c r="AA91" s="582"/>
      <c r="AB91" s="582"/>
      <c r="AC91" s="582"/>
      <c r="AD91" s="582"/>
      <c r="AE91" s="582"/>
      <c r="AF91" s="582"/>
      <c r="AK91" s="582"/>
      <c r="AL91" s="582"/>
      <c r="AM91" s="582"/>
      <c r="AN91" s="582"/>
      <c r="AO91" s="582"/>
      <c r="AP91" s="582"/>
      <c r="AQ91" s="909">
        <f t="shared" si="1"/>
        <v>16</v>
      </c>
      <c r="AR91" s="911" t="str">
        <f t="shared" si="2"/>
        <v/>
      </c>
      <c r="AS91" s="911" t="str">
        <f t="shared" si="3"/>
        <v/>
      </c>
      <c r="AT91" s="911" t="str">
        <f t="shared" si="4"/>
        <v/>
      </c>
      <c r="AU91" s="912" t="str">
        <f t="shared" si="7"/>
        <v/>
      </c>
      <c r="AV91" s="912" t="str">
        <f t="shared" si="5"/>
        <v/>
      </c>
      <c r="AW91" s="912" t="str">
        <f t="shared" si="6"/>
        <v/>
      </c>
      <c r="AX91" s="582"/>
      <c r="AY91" s="582"/>
      <c r="AZ91" s="582"/>
      <c r="BA91" s="582"/>
      <c r="BB91" s="582"/>
      <c r="BC91" s="582"/>
    </row>
    <row r="92" spans="1:55" x14ac:dyDescent="0.2">
      <c r="A92" s="560"/>
      <c r="B92" s="561"/>
      <c r="C92" s="561"/>
      <c r="D92" s="561"/>
      <c r="E92" s="561"/>
      <c r="F92" s="561"/>
      <c r="G92" s="561"/>
      <c r="H92" s="561"/>
      <c r="I92" s="561"/>
      <c r="J92" s="561"/>
      <c r="K92" s="561"/>
      <c r="L92" s="561"/>
      <c r="M92" s="561"/>
      <c r="N92" s="561"/>
      <c r="O92" s="561"/>
      <c r="P92" s="584"/>
      <c r="Z92" s="582"/>
      <c r="AA92" s="582"/>
      <c r="AB92" s="582"/>
      <c r="AC92" s="582"/>
      <c r="AD92" s="582"/>
      <c r="AE92" s="582"/>
      <c r="AF92" s="582"/>
      <c r="AK92" s="582"/>
      <c r="AL92" s="582"/>
      <c r="AM92" s="582"/>
      <c r="AN92" s="582"/>
      <c r="AO92" s="582"/>
      <c r="AP92" s="582"/>
      <c r="AQ92" s="909">
        <f>IF(AQ91="","",IF((1+AQ91)&gt;$E$105,"",1+AQ91))</f>
        <v>17</v>
      </c>
      <c r="AR92" s="911" t="str">
        <f t="shared" si="2"/>
        <v/>
      </c>
      <c r="AS92" s="911" t="str">
        <f t="shared" si="3"/>
        <v/>
      </c>
      <c r="AT92" s="911" t="str">
        <f t="shared" si="4"/>
        <v/>
      </c>
      <c r="AU92" s="912" t="str">
        <f t="shared" si="7"/>
        <v/>
      </c>
      <c r="AV92" s="912" t="str">
        <f t="shared" si="5"/>
        <v/>
      </c>
      <c r="AW92" s="912" t="str">
        <f t="shared" si="6"/>
        <v/>
      </c>
      <c r="AX92" s="582"/>
      <c r="AY92" s="582"/>
      <c r="AZ92" s="582"/>
      <c r="BA92" s="582"/>
      <c r="BB92" s="582"/>
      <c r="BC92" s="582"/>
    </row>
    <row r="93" spans="1:55" x14ac:dyDescent="0.2">
      <c r="A93" s="560"/>
      <c r="B93" s="561"/>
      <c r="C93" s="561"/>
      <c r="D93" s="561"/>
      <c r="E93" s="561"/>
      <c r="F93" s="561"/>
      <c r="G93" s="561"/>
      <c r="H93" s="561"/>
      <c r="I93" s="561"/>
      <c r="J93" s="561"/>
      <c r="K93" s="561"/>
      <c r="L93" s="561"/>
      <c r="M93" s="561"/>
      <c r="N93" s="561"/>
      <c r="O93" s="561"/>
      <c r="P93" s="584"/>
      <c r="Z93" s="582"/>
      <c r="AA93" s="582"/>
      <c r="AB93" s="582"/>
      <c r="AC93" s="582"/>
      <c r="AD93" s="582"/>
      <c r="AE93" s="582"/>
      <c r="AF93" s="582"/>
      <c r="AK93" s="582"/>
      <c r="AL93" s="582"/>
      <c r="AM93" s="582"/>
      <c r="AN93" s="582"/>
      <c r="AO93" s="582"/>
      <c r="AP93" s="582"/>
      <c r="AQ93" s="909">
        <f t="shared" si="1"/>
        <v>18</v>
      </c>
      <c r="AR93" s="911" t="str">
        <f t="shared" si="2"/>
        <v/>
      </c>
      <c r="AS93" s="911" t="str">
        <f t="shared" si="3"/>
        <v/>
      </c>
      <c r="AT93" s="911" t="str">
        <f t="shared" si="4"/>
        <v/>
      </c>
      <c r="AU93" s="912" t="str">
        <f t="shared" si="7"/>
        <v/>
      </c>
      <c r="AV93" s="912" t="str">
        <f t="shared" si="5"/>
        <v/>
      </c>
      <c r="AW93" s="912" t="str">
        <f t="shared" si="6"/>
        <v/>
      </c>
      <c r="AX93" s="582"/>
      <c r="AY93" s="582"/>
      <c r="AZ93" s="582"/>
      <c r="BA93" s="582"/>
      <c r="BB93" s="582"/>
      <c r="BC93" s="582"/>
    </row>
    <row r="94" spans="1:55" x14ac:dyDescent="0.2">
      <c r="A94" s="560"/>
      <c r="B94" s="561"/>
      <c r="C94" s="561"/>
      <c r="D94" s="561"/>
      <c r="E94" s="561"/>
      <c r="F94" s="561"/>
      <c r="G94" s="561"/>
      <c r="H94" s="561"/>
      <c r="I94" s="561"/>
      <c r="J94" s="561"/>
      <c r="K94" s="561"/>
      <c r="L94" s="561"/>
      <c r="M94" s="561"/>
      <c r="N94" s="561"/>
      <c r="O94" s="561"/>
      <c r="P94" s="584"/>
      <c r="Z94" s="582"/>
      <c r="AA94" s="582"/>
      <c r="AB94" s="582"/>
      <c r="AC94" s="582"/>
      <c r="AD94" s="582"/>
      <c r="AE94" s="582"/>
      <c r="AF94" s="582"/>
      <c r="AK94" s="582"/>
      <c r="AL94" s="582"/>
      <c r="AM94" s="582"/>
      <c r="AN94" s="582"/>
      <c r="AO94" s="582"/>
      <c r="AP94" s="582"/>
      <c r="AQ94" s="909">
        <f t="shared" si="1"/>
        <v>19</v>
      </c>
      <c r="AR94" s="911" t="str">
        <f t="shared" si="2"/>
        <v/>
      </c>
      <c r="AS94" s="911" t="str">
        <f t="shared" si="3"/>
        <v/>
      </c>
      <c r="AT94" s="911" t="str">
        <f t="shared" si="4"/>
        <v/>
      </c>
      <c r="AU94" s="912" t="str">
        <f t="shared" si="7"/>
        <v/>
      </c>
      <c r="AV94" s="912" t="str">
        <f t="shared" si="5"/>
        <v/>
      </c>
      <c r="AW94" s="912" t="str">
        <f t="shared" si="6"/>
        <v/>
      </c>
      <c r="AX94" s="582"/>
      <c r="AY94" s="582"/>
      <c r="AZ94" s="582"/>
      <c r="BA94" s="582"/>
      <c r="BB94" s="582"/>
      <c r="BC94" s="582"/>
    </row>
    <row r="95" spans="1:55" x14ac:dyDescent="0.2">
      <c r="A95" s="560"/>
      <c r="B95" s="561"/>
      <c r="C95" s="561"/>
      <c r="D95" s="561"/>
      <c r="E95" s="561"/>
      <c r="F95" s="561"/>
      <c r="G95" s="561"/>
      <c r="H95" s="561"/>
      <c r="I95" s="561"/>
      <c r="J95" s="561"/>
      <c r="K95" s="561"/>
      <c r="L95" s="561"/>
      <c r="M95" s="561"/>
      <c r="N95" s="561"/>
      <c r="O95" s="561"/>
      <c r="P95" s="584"/>
      <c r="Z95" s="582"/>
      <c r="AA95" s="582"/>
      <c r="AB95" s="582"/>
      <c r="AC95" s="582"/>
      <c r="AD95" s="582"/>
      <c r="AE95" s="582"/>
      <c r="AF95" s="582"/>
      <c r="AK95" s="582"/>
      <c r="AL95" s="582"/>
      <c r="AM95" s="582"/>
      <c r="AN95" s="582"/>
      <c r="AO95" s="582"/>
      <c r="AP95" s="582"/>
      <c r="AQ95" s="909">
        <f t="shared" si="1"/>
        <v>20</v>
      </c>
      <c r="AR95" s="911" t="str">
        <f t="shared" si="2"/>
        <v/>
      </c>
      <c r="AS95" s="911" t="str">
        <f t="shared" si="3"/>
        <v/>
      </c>
      <c r="AT95" s="911" t="str">
        <f t="shared" si="4"/>
        <v/>
      </c>
      <c r="AU95" s="912" t="str">
        <f t="shared" si="7"/>
        <v/>
      </c>
      <c r="AV95" s="912" t="str">
        <f t="shared" si="5"/>
        <v/>
      </c>
      <c r="AW95" s="912" t="str">
        <f t="shared" si="6"/>
        <v/>
      </c>
      <c r="AX95" s="582"/>
      <c r="AY95" s="582"/>
      <c r="AZ95" s="582"/>
      <c r="BA95" s="582"/>
      <c r="BB95" s="582"/>
      <c r="BC95" s="582"/>
    </row>
    <row r="96" spans="1:55" x14ac:dyDescent="0.2">
      <c r="A96" s="560"/>
      <c r="B96" s="561"/>
      <c r="C96" s="561"/>
      <c r="D96" s="561"/>
      <c r="E96" s="561"/>
      <c r="F96" s="561"/>
      <c r="G96" s="561"/>
      <c r="H96" s="561"/>
      <c r="I96" s="561"/>
      <c r="J96" s="561"/>
      <c r="K96" s="561"/>
      <c r="L96" s="561"/>
      <c r="M96" s="561"/>
      <c r="N96" s="561"/>
      <c r="O96" s="561"/>
      <c r="P96" s="584"/>
      <c r="Z96" s="582"/>
      <c r="AA96" s="582"/>
      <c r="AB96" s="582"/>
      <c r="AC96" s="582"/>
      <c r="AD96" s="582"/>
      <c r="AE96" s="582"/>
      <c r="AF96" s="582"/>
      <c r="AK96" s="582"/>
      <c r="AL96" s="582"/>
      <c r="AM96" s="582"/>
      <c r="AN96" s="582"/>
      <c r="AO96" s="582"/>
      <c r="AP96" s="582"/>
      <c r="AQ96" s="764"/>
      <c r="AR96" s="764"/>
      <c r="AS96" s="764"/>
      <c r="AT96" s="764"/>
      <c r="AU96" s="764"/>
      <c r="AV96" s="764"/>
      <c r="AW96" s="582"/>
      <c r="AX96" s="582"/>
      <c r="AY96" s="582"/>
      <c r="AZ96" s="582"/>
      <c r="BA96" s="582"/>
      <c r="BB96" s="582"/>
      <c r="BC96" s="582"/>
    </row>
    <row r="97" spans="1:55" ht="177.75" customHeight="1" x14ac:dyDescent="0.2">
      <c r="A97" s="560"/>
      <c r="B97" s="561"/>
      <c r="C97" s="561"/>
      <c r="D97" s="561"/>
      <c r="E97" s="561"/>
      <c r="F97" s="561"/>
      <c r="G97" s="561"/>
      <c r="H97" s="561"/>
      <c r="I97" s="561"/>
      <c r="J97" s="561"/>
      <c r="K97" s="561"/>
      <c r="L97" s="561"/>
      <c r="M97" s="561"/>
      <c r="N97" s="561"/>
      <c r="O97" s="561"/>
      <c r="P97" s="584"/>
      <c r="R97" s="582"/>
      <c r="S97" s="582"/>
      <c r="T97" s="582"/>
      <c r="U97" s="582"/>
      <c r="V97" s="582"/>
      <c r="W97" s="582"/>
      <c r="X97" s="582"/>
      <c r="Y97" s="582"/>
      <c r="Z97" s="582"/>
      <c r="AA97" s="582"/>
      <c r="AB97" s="582"/>
      <c r="AC97" s="582"/>
      <c r="AD97" s="582"/>
      <c r="AE97" s="582"/>
      <c r="AF97" s="582"/>
      <c r="AG97" s="582"/>
      <c r="AH97" s="582"/>
      <c r="AI97" s="582"/>
      <c r="AJ97" s="582"/>
      <c r="AK97" s="582"/>
      <c r="AL97" s="582"/>
      <c r="AM97" s="582"/>
      <c r="AN97" s="582"/>
      <c r="AO97" s="582"/>
      <c r="AP97" s="582"/>
      <c r="AQ97" s="888"/>
      <c r="AR97" s="764"/>
      <c r="AS97" s="764"/>
      <c r="AT97" s="764"/>
      <c r="AU97" s="764"/>
      <c r="AV97" s="764"/>
      <c r="AW97" s="582"/>
      <c r="AX97" s="582"/>
      <c r="AY97" s="582"/>
      <c r="AZ97" s="582"/>
      <c r="BA97" s="582"/>
      <c r="BB97" s="582"/>
      <c r="BC97" s="582"/>
    </row>
    <row r="98" spans="1:55" ht="120" customHeight="1" x14ac:dyDescent="0.2">
      <c r="A98" s="1193"/>
      <c r="B98" s="1194"/>
      <c r="C98" s="1194"/>
      <c r="D98" s="1194"/>
      <c r="E98" s="1194"/>
      <c r="F98" s="1194"/>
      <c r="G98" s="1194"/>
      <c r="H98" s="1194"/>
      <c r="I98" s="1194"/>
      <c r="J98" s="1194"/>
      <c r="K98" s="1194"/>
      <c r="L98" s="1194"/>
      <c r="M98" s="1194"/>
      <c r="N98" s="1194"/>
      <c r="O98" s="1194"/>
      <c r="P98" s="1195"/>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888"/>
      <c r="AR98" s="764"/>
      <c r="AS98" s="764"/>
      <c r="AT98" s="764"/>
      <c r="AU98" s="764"/>
      <c r="AV98" s="764"/>
      <c r="AW98" s="582"/>
      <c r="AX98" s="582"/>
      <c r="AY98" s="582"/>
      <c r="AZ98" s="582"/>
      <c r="BA98" s="582"/>
      <c r="BB98" s="582"/>
      <c r="BC98" s="582"/>
    </row>
    <row r="99" spans="1:55" ht="7.5" customHeight="1" x14ac:dyDescent="0.2">
      <c r="A99" s="560"/>
      <c r="B99" s="561"/>
      <c r="C99" s="561"/>
      <c r="D99" s="561"/>
      <c r="E99" s="561"/>
      <c r="F99" s="561"/>
      <c r="G99" s="561"/>
      <c r="H99" s="561"/>
      <c r="I99" s="561"/>
      <c r="J99" s="561"/>
      <c r="K99" s="561"/>
      <c r="L99" s="561"/>
      <c r="M99" s="561"/>
      <c r="N99" s="561"/>
      <c r="O99" s="561"/>
      <c r="P99" s="584"/>
      <c r="R99" s="582"/>
      <c r="S99" s="582"/>
      <c r="T99" s="582"/>
      <c r="U99" s="582"/>
      <c r="V99" s="582"/>
      <c r="W99" s="582"/>
      <c r="X99" s="582"/>
      <c r="Y99" s="582"/>
      <c r="Z99" s="582"/>
      <c r="AA99" s="582"/>
      <c r="AB99" s="582"/>
      <c r="AC99" s="582"/>
      <c r="AD99" s="582"/>
      <c r="AE99" s="582"/>
      <c r="AF99" s="582"/>
      <c r="AG99" s="582"/>
      <c r="AH99" s="582"/>
      <c r="AI99" s="582"/>
      <c r="AJ99" s="582"/>
      <c r="AK99" s="582"/>
      <c r="AL99" s="582"/>
      <c r="AM99" s="582"/>
      <c r="AN99" s="582"/>
      <c r="AO99" s="582"/>
      <c r="AP99" s="582"/>
      <c r="AQ99" s="889"/>
      <c r="AR99" s="899" t="s">
        <v>365</v>
      </c>
      <c r="AS99" s="899"/>
      <c r="AT99" s="899"/>
      <c r="AU99" s="900"/>
      <c r="AV99" s="764"/>
      <c r="AW99" s="582"/>
      <c r="AX99" s="582"/>
      <c r="AY99" s="582"/>
      <c r="AZ99" s="582"/>
      <c r="BA99" s="582"/>
      <c r="BB99" s="582"/>
      <c r="BC99" s="582"/>
    </row>
    <row r="100" spans="1:55" ht="18" customHeight="1" x14ac:dyDescent="0.2">
      <c r="A100" s="558">
        <v>6</v>
      </c>
      <c r="B100" s="1186" t="s">
        <v>316</v>
      </c>
      <c r="C100" s="1187"/>
      <c r="D100" s="1187"/>
      <c r="E100" s="1187"/>
      <c r="F100" s="1187"/>
      <c r="G100" s="1187"/>
      <c r="H100" s="1187"/>
      <c r="I100" s="1187"/>
      <c r="J100" s="1187"/>
      <c r="K100" s="1187"/>
      <c r="L100" s="1187"/>
      <c r="M100" s="1187"/>
      <c r="N100" s="1187"/>
      <c r="O100" s="1187"/>
      <c r="P100" s="1188"/>
      <c r="R100" s="582"/>
      <c r="S100" s="582"/>
      <c r="T100" s="582"/>
      <c r="U100" s="582"/>
      <c r="V100" s="582"/>
      <c r="W100" s="582"/>
      <c r="X100" s="582"/>
      <c r="Y100" s="582"/>
      <c r="Z100" s="582"/>
      <c r="AA100" s="582"/>
      <c r="AB100" s="582"/>
      <c r="AC100" s="582"/>
      <c r="AD100" s="582"/>
      <c r="AE100" s="582"/>
      <c r="AF100" s="582"/>
      <c r="AG100" s="717"/>
      <c r="AH100" s="718"/>
      <c r="AI100" s="718"/>
      <c r="AJ100" s="718"/>
      <c r="AK100" s="582"/>
      <c r="AL100" s="582"/>
      <c r="AM100" s="582"/>
      <c r="AN100" s="582"/>
      <c r="AO100" s="582"/>
      <c r="AP100" s="582"/>
      <c r="AQ100" s="889"/>
      <c r="AR100" s="899" t="str">
        <f>E38</f>
        <v/>
      </c>
      <c r="AS100" s="899" t="str">
        <f>I38</f>
        <v/>
      </c>
      <c r="AT100" s="899" t="str">
        <f>M38</f>
        <v/>
      </c>
      <c r="AU100" s="900"/>
      <c r="AV100" s="764"/>
      <c r="AW100" s="582"/>
      <c r="AX100" s="582"/>
      <c r="AY100" s="582"/>
      <c r="AZ100" s="582"/>
      <c r="BA100" s="582"/>
      <c r="BB100" s="582"/>
      <c r="BC100" s="582"/>
    </row>
    <row r="101" spans="1:55" ht="6.75" customHeight="1" x14ac:dyDescent="0.2">
      <c r="A101" s="596"/>
      <c r="B101" s="598"/>
      <c r="C101" s="598"/>
      <c r="D101" s="598"/>
      <c r="E101" s="598"/>
      <c r="F101" s="598"/>
      <c r="G101" s="598"/>
      <c r="H101" s="598"/>
      <c r="I101" s="598"/>
      <c r="J101" s="598"/>
      <c r="K101" s="598"/>
      <c r="L101" s="598"/>
      <c r="M101" s="598"/>
      <c r="N101" s="598"/>
      <c r="O101" s="633"/>
      <c r="P101" s="634"/>
      <c r="R101" s="582"/>
      <c r="S101" s="582"/>
      <c r="T101" s="582"/>
      <c r="U101" s="582"/>
      <c r="V101" s="582"/>
      <c r="W101" s="582"/>
      <c r="X101" s="582"/>
      <c r="Y101" s="582"/>
      <c r="Z101" s="582"/>
      <c r="AA101" s="582"/>
      <c r="AB101" s="582"/>
      <c r="AC101" s="582"/>
      <c r="AD101" s="582"/>
      <c r="AE101" s="582"/>
      <c r="AF101" s="582"/>
      <c r="AG101" s="717"/>
      <c r="AH101" s="718"/>
      <c r="AI101" s="718"/>
      <c r="AJ101" s="718"/>
      <c r="AK101" s="582"/>
      <c r="AL101" s="582"/>
      <c r="AM101" s="582"/>
      <c r="AN101" s="582"/>
      <c r="AO101" s="582"/>
      <c r="AP101" s="582"/>
      <c r="AQ101" s="890" t="s">
        <v>286</v>
      </c>
      <c r="AR101" s="901" t="e">
        <f>E34/20</f>
        <v>#VALUE!</v>
      </c>
      <c r="AS101" s="901" t="e">
        <f>I34/20</f>
        <v>#VALUE!</v>
      </c>
      <c r="AT101" s="901" t="e">
        <f>M34/20</f>
        <v>#VALUE!</v>
      </c>
      <c r="AU101" s="900"/>
      <c r="AV101" s="764"/>
      <c r="AW101" s="582"/>
      <c r="AX101" s="582"/>
      <c r="AY101" s="582"/>
      <c r="AZ101" s="582"/>
      <c r="BA101" s="582"/>
      <c r="BB101" s="582"/>
      <c r="BC101" s="582"/>
    </row>
    <row r="102" spans="1:55" ht="16.5" customHeight="1" x14ac:dyDescent="0.2">
      <c r="A102" s="596" t="s">
        <v>317</v>
      </c>
      <c r="B102" s="598"/>
      <c r="C102" s="598"/>
      <c r="D102" s="598"/>
      <c r="E102" s="598"/>
      <c r="F102" s="598"/>
      <c r="G102" s="598"/>
      <c r="H102" s="598"/>
      <c r="I102" s="598"/>
      <c r="J102" s="598" t="s">
        <v>318</v>
      </c>
      <c r="K102" s="598"/>
      <c r="L102" s="598"/>
      <c r="M102" s="598"/>
      <c r="N102" s="598"/>
      <c r="O102" s="598"/>
      <c r="P102" s="635"/>
      <c r="Q102" s="565"/>
      <c r="R102" s="582"/>
      <c r="S102" s="582"/>
      <c r="T102" s="582"/>
      <c r="U102" s="582"/>
      <c r="V102" s="582"/>
      <c r="W102" s="582"/>
      <c r="X102" s="582"/>
      <c r="Y102" s="582"/>
      <c r="Z102" s="582"/>
      <c r="AA102" s="582"/>
      <c r="AB102" s="582"/>
      <c r="AC102" s="582"/>
      <c r="AD102" s="582"/>
      <c r="AE102" s="582"/>
      <c r="AF102" s="582"/>
      <c r="AG102" s="717"/>
      <c r="AH102" s="718"/>
      <c r="AI102" s="718"/>
      <c r="AJ102" s="718"/>
      <c r="AK102" s="582"/>
      <c r="AL102" s="582"/>
      <c r="AM102" s="582"/>
      <c r="AN102" s="582"/>
      <c r="AO102" s="582"/>
      <c r="AP102" s="582"/>
      <c r="AQ102" s="890" t="s">
        <v>370</v>
      </c>
      <c r="AR102" s="901" t="e">
        <f>E54/20</f>
        <v>#VALUE!</v>
      </c>
      <c r="AS102" s="901" t="e">
        <f>I54/20</f>
        <v>#VALUE!</v>
      </c>
      <c r="AT102" s="901" t="e">
        <f>M54/20</f>
        <v>#VALUE!</v>
      </c>
      <c r="AU102" s="900"/>
      <c r="AV102" s="764"/>
      <c r="AW102" s="582"/>
      <c r="AX102" s="582"/>
      <c r="AY102" s="582"/>
      <c r="AZ102" s="582"/>
      <c r="BA102" s="582"/>
      <c r="BB102" s="582"/>
      <c r="BC102" s="582"/>
    </row>
    <row r="103" spans="1:55" ht="16.5" customHeight="1" x14ac:dyDescent="0.2">
      <c r="A103" s="596" t="s">
        <v>355</v>
      </c>
      <c r="B103" s="598"/>
      <c r="C103" s="598"/>
      <c r="D103" s="599" t="s">
        <v>319</v>
      </c>
      <c r="E103" s="636">
        <v>0.03</v>
      </c>
      <c r="F103" s="637"/>
      <c r="G103" s="637"/>
      <c r="H103" s="598"/>
      <c r="I103" s="598"/>
      <c r="J103" s="598"/>
      <c r="K103" s="598"/>
      <c r="L103" s="598"/>
      <c r="M103" s="598"/>
      <c r="N103" s="598"/>
      <c r="O103" s="598"/>
      <c r="P103" s="635"/>
      <c r="Q103" s="565"/>
      <c r="R103" s="582"/>
      <c r="S103" s="582"/>
      <c r="T103" s="582"/>
      <c r="U103" s="582"/>
      <c r="V103" s="582"/>
      <c r="W103" s="582"/>
      <c r="X103" s="582"/>
      <c r="Y103" s="582"/>
      <c r="Z103" s="582"/>
      <c r="AA103" s="582"/>
      <c r="AB103" s="582"/>
      <c r="AC103" s="582"/>
      <c r="AD103" s="582"/>
      <c r="AE103" s="582"/>
      <c r="AF103" s="582"/>
      <c r="AG103" s="717"/>
      <c r="AH103" s="718"/>
      <c r="AI103" s="718"/>
      <c r="AJ103" s="718"/>
      <c r="AK103" s="582"/>
      <c r="AL103" s="582"/>
      <c r="AM103" s="582"/>
      <c r="AN103" s="582"/>
      <c r="AO103" s="582"/>
      <c r="AP103" s="582"/>
      <c r="AQ103" s="890" t="s">
        <v>369</v>
      </c>
      <c r="AR103" s="901" t="e">
        <f>E67/20</f>
        <v>#VALUE!</v>
      </c>
      <c r="AS103" s="901" t="e">
        <f>I67/20</f>
        <v>#VALUE!</v>
      </c>
      <c r="AT103" s="901" t="e">
        <f>M67/20</f>
        <v>#VALUE!</v>
      </c>
      <c r="AU103" s="900" t="e">
        <f>IF(M67=0,"",M67/20)</f>
        <v>#VALUE!</v>
      </c>
      <c r="AV103" s="764"/>
      <c r="AW103" s="582"/>
      <c r="AX103" s="582"/>
      <c r="AY103" s="582"/>
      <c r="AZ103" s="582"/>
      <c r="BA103" s="582"/>
      <c r="BB103" s="582"/>
      <c r="BC103" s="582"/>
    </row>
    <row r="104" spans="1:55" ht="16.5" customHeight="1" x14ac:dyDescent="0.2">
      <c r="A104" s="596" t="s">
        <v>356</v>
      </c>
      <c r="B104" s="598"/>
      <c r="C104" s="598"/>
      <c r="D104" s="599" t="s">
        <v>320</v>
      </c>
      <c r="E104" s="636">
        <v>0.03</v>
      </c>
      <c r="F104" s="637"/>
      <c r="G104" s="637"/>
      <c r="H104" s="598"/>
      <c r="I104" s="598"/>
      <c r="J104" s="598"/>
      <c r="K104" s="598"/>
      <c r="L104" s="598"/>
      <c r="M104" s="598"/>
      <c r="N104" s="598"/>
      <c r="O104" s="598"/>
      <c r="P104" s="635"/>
      <c r="Q104" s="565"/>
      <c r="R104" s="582"/>
      <c r="S104" s="582"/>
      <c r="T104" s="582"/>
      <c r="U104" s="582"/>
      <c r="V104" s="582"/>
      <c r="W104" s="582"/>
      <c r="X104" s="582"/>
      <c r="Y104" s="582"/>
      <c r="Z104" s="582"/>
      <c r="AA104" s="582"/>
      <c r="AB104" s="582"/>
      <c r="AC104" s="582"/>
      <c r="AD104" s="582"/>
      <c r="AE104" s="582"/>
      <c r="AF104" s="582"/>
      <c r="AG104" s="717"/>
      <c r="AH104" s="718"/>
      <c r="AI104" s="718"/>
      <c r="AJ104" s="718"/>
      <c r="AK104" s="582"/>
      <c r="AL104" s="582"/>
      <c r="AM104" s="582"/>
      <c r="AN104" s="582"/>
      <c r="AO104" s="582"/>
      <c r="AP104" s="582"/>
      <c r="AQ104" s="890" t="s">
        <v>213</v>
      </c>
      <c r="AR104" s="901" t="e">
        <f>SUM(AR101:AR103)</f>
        <v>#VALUE!</v>
      </c>
      <c r="AS104" s="901" t="e">
        <f>SUM(AS101:AS103)</f>
        <v>#VALUE!</v>
      </c>
      <c r="AT104" s="901" t="e">
        <f>SUM(AT101:AT103)</f>
        <v>#VALUE!</v>
      </c>
      <c r="AU104" s="900"/>
      <c r="AV104" s="764"/>
      <c r="AW104" s="582"/>
      <c r="AX104" s="582"/>
      <c r="AY104" s="582"/>
      <c r="AZ104" s="582"/>
      <c r="BA104" s="582"/>
      <c r="BB104" s="582"/>
      <c r="BC104" s="582"/>
    </row>
    <row r="105" spans="1:55" ht="16.5" customHeight="1" x14ac:dyDescent="0.2">
      <c r="A105" s="596" t="s">
        <v>357</v>
      </c>
      <c r="B105" s="598"/>
      <c r="C105" s="598"/>
      <c r="D105" s="599" t="s">
        <v>321</v>
      </c>
      <c r="E105" s="638">
        <v>20</v>
      </c>
      <c r="F105" s="598" t="s">
        <v>226</v>
      </c>
      <c r="G105" s="598"/>
      <c r="H105" s="639"/>
      <c r="I105" s="598"/>
      <c r="J105" s="598"/>
      <c r="K105" s="598"/>
      <c r="L105" s="598"/>
      <c r="M105" s="598"/>
      <c r="N105" s="598"/>
      <c r="O105" s="598"/>
      <c r="P105" s="635"/>
      <c r="Q105" s="565"/>
      <c r="R105" s="582"/>
      <c r="S105" s="582"/>
      <c r="T105" s="582"/>
      <c r="U105" s="582"/>
      <c r="V105" s="582"/>
      <c r="W105" s="582"/>
      <c r="X105" s="582"/>
      <c r="Y105" s="582"/>
      <c r="Z105" s="582"/>
      <c r="AA105" s="582"/>
      <c r="AB105" s="582"/>
      <c r="AC105" s="582"/>
      <c r="AD105" s="582"/>
      <c r="AE105" s="582"/>
      <c r="AF105" s="582"/>
      <c r="AG105" s="717"/>
      <c r="AH105" s="718"/>
      <c r="AI105" s="718"/>
      <c r="AJ105" s="718"/>
      <c r="AK105" s="582"/>
      <c r="AL105" s="582"/>
      <c r="AM105" s="582"/>
      <c r="AN105" s="582"/>
      <c r="AO105" s="582"/>
      <c r="AP105" s="582"/>
      <c r="AQ105" s="888"/>
      <c r="AR105" s="764"/>
      <c r="AS105" s="764"/>
      <c r="AT105" s="764"/>
      <c r="AU105" s="764"/>
      <c r="AV105" s="764"/>
      <c r="AW105" s="582"/>
      <c r="AX105" s="582"/>
      <c r="AY105" s="582"/>
      <c r="AZ105" s="582"/>
      <c r="BA105" s="582"/>
      <c r="BB105" s="582"/>
      <c r="BC105" s="582"/>
    </row>
    <row r="106" spans="1:55" ht="16.5" customHeight="1" x14ac:dyDescent="0.2">
      <c r="A106" s="596" t="s">
        <v>358</v>
      </c>
      <c r="B106" s="598"/>
      <c r="C106" s="598"/>
      <c r="D106" s="599" t="s">
        <v>322</v>
      </c>
      <c r="E106" s="640" t="str">
        <f>"variiert, jedoch mindestens "&amp;E105/10</f>
        <v>variiert, jedoch mindestens 2</v>
      </c>
      <c r="F106" s="598"/>
      <c r="G106" s="598"/>
      <c r="H106" s="598"/>
      <c r="I106" s="598"/>
      <c r="J106" s="598"/>
      <c r="K106" s="598"/>
      <c r="L106" s="598"/>
      <c r="M106" s="598"/>
      <c r="N106" s="598"/>
      <c r="O106" s="598"/>
      <c r="P106" s="635"/>
      <c r="Q106" s="565"/>
      <c r="R106" s="582"/>
      <c r="S106" s="582"/>
      <c r="T106" s="582"/>
      <c r="U106" s="582"/>
      <c r="V106" s="582"/>
      <c r="W106" s="582"/>
      <c r="X106" s="582"/>
      <c r="Y106" s="582"/>
      <c r="Z106" s="582"/>
      <c r="AA106" s="582"/>
      <c r="AB106" s="582"/>
      <c r="AC106" s="582"/>
      <c r="AD106" s="582"/>
      <c r="AE106" s="582"/>
      <c r="AF106" s="582"/>
      <c r="AG106" s="717"/>
      <c r="AH106" s="718"/>
      <c r="AI106" s="718"/>
      <c r="AJ106" s="718"/>
      <c r="AK106" s="582"/>
      <c r="AL106" s="582"/>
      <c r="AM106" s="582"/>
      <c r="AN106" s="582"/>
      <c r="AO106" s="582"/>
      <c r="AP106" s="582"/>
      <c r="AQ106" s="888"/>
      <c r="AR106" s="764"/>
      <c r="AS106" s="764"/>
      <c r="AT106" s="764"/>
      <c r="AU106" s="764"/>
      <c r="AV106" s="764"/>
      <c r="AW106" s="582"/>
      <c r="AX106" s="582"/>
      <c r="AY106" s="582"/>
      <c r="AZ106" s="582"/>
      <c r="BA106" s="582"/>
      <c r="BB106" s="582"/>
      <c r="BC106" s="582"/>
    </row>
    <row r="107" spans="1:55" ht="16.5" customHeight="1" x14ac:dyDescent="0.2">
      <c r="A107" s="596" t="s">
        <v>323</v>
      </c>
      <c r="B107" s="598"/>
      <c r="C107" s="598"/>
      <c r="D107" s="641" t="s">
        <v>354</v>
      </c>
      <c r="E107" s="636">
        <v>1</v>
      </c>
      <c r="F107" s="598"/>
      <c r="G107" s="598"/>
      <c r="H107" s="598"/>
      <c r="I107" s="598"/>
      <c r="J107" s="598"/>
      <c r="K107" s="598"/>
      <c r="L107" s="598"/>
      <c r="M107" s="598"/>
      <c r="N107" s="598"/>
      <c r="O107" s="598"/>
      <c r="P107" s="635"/>
      <c r="Q107" s="565"/>
      <c r="R107" s="582"/>
      <c r="S107" s="582"/>
      <c r="T107" s="582"/>
      <c r="U107" s="582"/>
      <c r="V107" s="582"/>
      <c r="W107" s="582"/>
      <c r="X107" s="582"/>
      <c r="Y107" s="582"/>
      <c r="Z107" s="582"/>
      <c r="AA107" s="582"/>
      <c r="AB107" s="582"/>
      <c r="AC107" s="582"/>
      <c r="AD107" s="582"/>
      <c r="AE107" s="582"/>
      <c r="AF107" s="582"/>
      <c r="AG107" s="717"/>
      <c r="AH107" s="718"/>
      <c r="AI107" s="718"/>
      <c r="AJ107" s="718"/>
      <c r="AK107" s="582"/>
      <c r="AL107" s="582"/>
      <c r="AM107" s="582"/>
      <c r="AN107" s="582"/>
      <c r="AO107" s="582"/>
      <c r="AP107" s="582"/>
      <c r="AQ107" s="888"/>
      <c r="AR107" s="764"/>
      <c r="AS107" s="764"/>
      <c r="AT107" s="764"/>
      <c r="AU107" s="764"/>
      <c r="AV107" s="764"/>
      <c r="AW107" s="582"/>
      <c r="AX107" s="582"/>
      <c r="AY107" s="582"/>
      <c r="AZ107" s="582"/>
      <c r="BA107" s="582"/>
      <c r="BB107" s="582"/>
      <c r="BC107" s="582"/>
    </row>
    <row r="108" spans="1:55" ht="5.25" customHeight="1" x14ac:dyDescent="0.2">
      <c r="A108" s="642"/>
      <c r="B108" s="643"/>
      <c r="C108" s="643"/>
      <c r="D108" s="643"/>
      <c r="E108" s="643"/>
      <c r="F108" s="643"/>
      <c r="G108" s="643"/>
      <c r="H108" s="643"/>
      <c r="I108" s="643"/>
      <c r="J108" s="643"/>
      <c r="K108" s="643"/>
      <c r="L108" s="643"/>
      <c r="M108" s="643"/>
      <c r="N108" s="643"/>
      <c r="O108" s="643"/>
      <c r="P108" s="645"/>
      <c r="Q108" s="565"/>
      <c r="R108" s="582"/>
      <c r="S108" s="582"/>
      <c r="T108" s="582"/>
      <c r="U108" s="582"/>
      <c r="V108" s="582"/>
      <c r="W108" s="582"/>
      <c r="X108" s="582"/>
      <c r="Y108" s="582"/>
      <c r="Z108" s="582"/>
      <c r="AA108" s="582"/>
      <c r="AB108" s="582"/>
      <c r="AC108" s="582"/>
      <c r="AD108" s="582"/>
      <c r="AE108" s="582"/>
      <c r="AF108" s="582"/>
      <c r="AG108" s="717"/>
      <c r="AH108" s="718"/>
      <c r="AI108" s="718"/>
      <c r="AJ108" s="718"/>
      <c r="AK108" s="582"/>
      <c r="AL108" s="582"/>
      <c r="AM108" s="582"/>
      <c r="AN108" s="582"/>
      <c r="AO108" s="582"/>
      <c r="AP108" s="582"/>
      <c r="AQ108" s="888"/>
      <c r="AR108" s="764"/>
      <c r="AS108" s="764"/>
      <c r="AT108" s="764"/>
      <c r="AU108" s="764"/>
      <c r="AV108" s="764"/>
      <c r="AW108" s="582"/>
      <c r="AX108" s="582"/>
      <c r="AY108" s="582"/>
      <c r="AZ108" s="582"/>
      <c r="BA108" s="582"/>
      <c r="BB108" s="582"/>
      <c r="BC108" s="582"/>
    </row>
    <row r="109" spans="1:55" ht="15" hidden="1" customHeight="1" x14ac:dyDescent="0.2">
      <c r="A109" s="565"/>
      <c r="B109" s="565"/>
      <c r="C109" s="565"/>
      <c r="D109" s="565"/>
      <c r="E109" s="565"/>
      <c r="F109" s="565"/>
      <c r="G109" s="565"/>
      <c r="H109" s="565"/>
      <c r="I109" s="565"/>
      <c r="J109" s="565"/>
      <c r="K109" s="565"/>
      <c r="L109" s="565"/>
      <c r="M109" s="565"/>
      <c r="N109" s="565"/>
      <c r="O109" s="565"/>
      <c r="P109" s="594"/>
      <c r="Q109" s="565"/>
      <c r="R109" s="582"/>
      <c r="S109" s="582"/>
      <c r="T109" s="582"/>
      <c r="U109" s="582"/>
      <c r="V109" s="582"/>
      <c r="W109" s="582"/>
      <c r="X109" s="582"/>
      <c r="Y109" s="582"/>
      <c r="Z109" s="582"/>
      <c r="AA109" s="582"/>
      <c r="AB109" s="582"/>
      <c r="AC109" s="582"/>
      <c r="AD109" s="582"/>
      <c r="AE109" s="582"/>
      <c r="AF109" s="582"/>
      <c r="AG109" s="717"/>
      <c r="AH109" s="718"/>
      <c r="AI109" s="718"/>
      <c r="AJ109" s="718"/>
      <c r="AK109" s="582"/>
      <c r="AL109" s="582"/>
      <c r="AM109" s="582"/>
      <c r="AN109" s="582"/>
      <c r="AO109" s="582"/>
      <c r="AP109" s="582"/>
      <c r="AQ109" s="764"/>
      <c r="AR109" s="764"/>
      <c r="AS109" s="764"/>
      <c r="AT109" s="764"/>
      <c r="AU109" s="764"/>
      <c r="AV109" s="764"/>
      <c r="AW109" s="582"/>
      <c r="AX109" s="582"/>
      <c r="AY109" s="582"/>
      <c r="AZ109" s="582"/>
      <c r="BA109" s="582"/>
      <c r="BB109" s="582"/>
      <c r="BC109" s="582"/>
    </row>
    <row r="110" spans="1:55" ht="15" hidden="1" customHeight="1" x14ac:dyDescent="0.2">
      <c r="A110" s="559" t="s">
        <v>278</v>
      </c>
      <c r="B110" s="565"/>
      <c r="C110" s="565"/>
      <c r="D110" s="565"/>
      <c r="E110" s="565"/>
      <c r="F110" s="565"/>
      <c r="G110" s="565"/>
      <c r="H110" s="565"/>
      <c r="I110" s="565"/>
      <c r="J110" s="565"/>
      <c r="K110" s="565"/>
      <c r="L110" s="565"/>
      <c r="M110" s="565"/>
      <c r="N110" s="565"/>
      <c r="O110" s="565"/>
      <c r="P110" s="581"/>
      <c r="Q110" s="565"/>
      <c r="R110" s="582"/>
      <c r="S110" s="582"/>
      <c r="T110" s="582"/>
      <c r="U110" s="582"/>
      <c r="V110" s="582"/>
      <c r="W110" s="582"/>
      <c r="X110" s="582"/>
      <c r="Y110" s="582"/>
      <c r="Z110" s="582"/>
      <c r="AA110" s="582"/>
      <c r="AB110" s="582"/>
      <c r="AC110" s="582"/>
      <c r="AD110" s="582"/>
      <c r="AE110" s="582"/>
      <c r="AF110" s="582"/>
      <c r="AG110" s="717"/>
      <c r="AH110" s="718"/>
      <c r="AI110" s="718"/>
      <c r="AJ110" s="718"/>
      <c r="AK110" s="582"/>
      <c r="AL110" s="582"/>
      <c r="AM110" s="582"/>
      <c r="AN110" s="582"/>
      <c r="AO110" s="582"/>
      <c r="AP110" s="582"/>
      <c r="AQ110" s="764"/>
      <c r="AR110" s="882"/>
      <c r="AS110" s="764"/>
      <c r="AT110" s="764"/>
      <c r="AU110" s="764"/>
      <c r="AV110" s="764"/>
      <c r="AW110" s="582"/>
      <c r="AX110" s="582"/>
      <c r="AY110" s="582"/>
      <c r="AZ110" s="582"/>
      <c r="BA110" s="582"/>
      <c r="BB110" s="582"/>
      <c r="BC110" s="582"/>
    </row>
    <row r="111" spans="1:55" ht="15" hidden="1" customHeight="1" x14ac:dyDescent="0.2">
      <c r="A111" s="562" t="s">
        <v>324</v>
      </c>
      <c r="B111" s="565"/>
      <c r="C111" s="565"/>
      <c r="D111" s="565"/>
      <c r="E111" s="565"/>
      <c r="F111" s="565"/>
      <c r="G111" s="565"/>
      <c r="H111" s="565"/>
      <c r="I111" s="565"/>
      <c r="J111" s="565"/>
      <c r="K111" s="565"/>
      <c r="L111" s="565"/>
      <c r="M111" s="565"/>
      <c r="N111" s="565"/>
      <c r="O111" s="565"/>
      <c r="P111" s="581"/>
      <c r="Q111" s="565"/>
      <c r="R111" s="582"/>
      <c r="S111" s="582"/>
      <c r="T111" s="582"/>
      <c r="U111" s="582"/>
      <c r="V111" s="582"/>
      <c r="W111" s="582"/>
      <c r="X111" s="582"/>
      <c r="Y111" s="582"/>
      <c r="Z111" s="582"/>
      <c r="AA111" s="582"/>
      <c r="AB111" s="582"/>
      <c r="AC111" s="582"/>
      <c r="AD111" s="582"/>
      <c r="AE111" s="582"/>
      <c r="AF111" s="582"/>
      <c r="AG111" s="717"/>
      <c r="AH111" s="718"/>
      <c r="AI111" s="718"/>
      <c r="AJ111" s="718"/>
      <c r="AK111" s="582"/>
      <c r="AL111" s="582"/>
      <c r="AM111" s="582"/>
      <c r="AN111" s="582"/>
      <c r="AO111" s="582"/>
      <c r="AP111" s="582"/>
      <c r="AQ111" s="764"/>
      <c r="AR111" s="764"/>
      <c r="AS111" s="764"/>
      <c r="AT111" s="764"/>
      <c r="AU111" s="764"/>
      <c r="AV111" s="764"/>
      <c r="AW111" s="582"/>
      <c r="AX111" s="582"/>
      <c r="AY111" s="582"/>
      <c r="AZ111" s="582"/>
      <c r="BA111" s="582"/>
      <c r="BB111" s="582"/>
      <c r="BC111" s="582"/>
    </row>
    <row r="112" spans="1:55" ht="15" hidden="1" customHeight="1" x14ac:dyDescent="0.2">
      <c r="A112" s="562" t="s">
        <v>325</v>
      </c>
      <c r="B112" s="565"/>
      <c r="C112" s="565"/>
      <c r="D112" s="565"/>
      <c r="E112" s="565"/>
      <c r="F112" s="565"/>
      <c r="G112" s="565"/>
      <c r="H112" s="565"/>
      <c r="I112" s="565"/>
      <c r="J112" s="565"/>
      <c r="K112" s="565"/>
      <c r="L112" s="565"/>
      <c r="M112" s="565"/>
      <c r="N112" s="565"/>
      <c r="O112" s="565"/>
      <c r="P112" s="581"/>
      <c r="Q112" s="565"/>
      <c r="R112" s="582"/>
      <c r="S112" s="582"/>
      <c r="T112" s="582"/>
      <c r="U112" s="582"/>
      <c r="V112" s="582"/>
      <c r="W112" s="582"/>
      <c r="X112" s="582"/>
      <c r="Y112" s="582"/>
      <c r="Z112" s="582"/>
      <c r="AA112" s="582"/>
      <c r="AB112" s="582"/>
      <c r="AC112" s="582"/>
      <c r="AD112" s="582"/>
      <c r="AE112" s="582"/>
      <c r="AF112" s="582"/>
      <c r="AG112" s="717"/>
      <c r="AH112" s="718"/>
      <c r="AI112" s="718"/>
      <c r="AJ112" s="718"/>
      <c r="AK112" s="582"/>
      <c r="AL112" s="582"/>
      <c r="AM112" s="582"/>
      <c r="AN112" s="582"/>
      <c r="AO112" s="582"/>
      <c r="AP112" s="582"/>
      <c r="AQ112" s="764"/>
      <c r="AR112" s="764"/>
      <c r="AS112" s="764"/>
      <c r="AT112" s="764"/>
      <c r="AU112" s="764"/>
      <c r="AV112" s="764"/>
      <c r="AW112" s="582"/>
      <c r="AX112" s="582"/>
      <c r="AY112" s="582"/>
      <c r="AZ112" s="582"/>
      <c r="BA112" s="582"/>
      <c r="BB112" s="582"/>
      <c r="BC112" s="582"/>
    </row>
    <row r="113" spans="1:55" ht="15" hidden="1" customHeight="1" x14ac:dyDescent="0.2">
      <c r="A113" s="562" t="s">
        <v>326</v>
      </c>
      <c r="B113" s="565"/>
      <c r="C113" s="565"/>
      <c r="D113" s="565"/>
      <c r="E113" s="565"/>
      <c r="F113" s="565"/>
      <c r="G113" s="565"/>
      <c r="H113" s="565"/>
      <c r="I113" s="565"/>
      <c r="J113" s="565"/>
      <c r="K113" s="565"/>
      <c r="L113" s="565"/>
      <c r="M113" s="565"/>
      <c r="N113" s="565"/>
      <c r="O113" s="565"/>
      <c r="P113" s="581"/>
      <c r="Q113" s="565"/>
      <c r="R113" s="582"/>
      <c r="S113" s="582"/>
      <c r="T113" s="582"/>
      <c r="U113" s="582"/>
      <c r="V113" s="582"/>
      <c r="W113" s="582"/>
      <c r="X113" s="582"/>
      <c r="Y113" s="582"/>
      <c r="Z113" s="582"/>
      <c r="AA113" s="582"/>
      <c r="AB113" s="582"/>
      <c r="AC113" s="582"/>
      <c r="AD113" s="582"/>
      <c r="AE113" s="582"/>
      <c r="AF113" s="582"/>
      <c r="AG113" s="717"/>
      <c r="AH113" s="718"/>
      <c r="AI113" s="718"/>
      <c r="AJ113" s="718"/>
      <c r="AK113" s="582"/>
      <c r="AL113" s="582"/>
      <c r="AM113" s="582"/>
      <c r="AN113" s="582"/>
      <c r="AO113" s="582"/>
      <c r="AP113" s="582"/>
      <c r="AQ113" s="764"/>
      <c r="AR113" s="764"/>
      <c r="AS113" s="764"/>
      <c r="AT113" s="764"/>
      <c r="AU113" s="764"/>
      <c r="AV113" s="764"/>
      <c r="AW113" s="582"/>
      <c r="AX113" s="582"/>
      <c r="AY113" s="582"/>
      <c r="AZ113" s="582"/>
      <c r="BA113" s="582"/>
      <c r="BB113" s="582"/>
      <c r="BC113" s="582"/>
    </row>
    <row r="114" spans="1:55" ht="15" hidden="1" customHeight="1" x14ac:dyDescent="0.2">
      <c r="A114" s="559" t="s">
        <v>327</v>
      </c>
      <c r="B114" s="565"/>
      <c r="C114" s="565"/>
      <c r="D114" s="565"/>
      <c r="E114" s="565"/>
      <c r="F114" s="565"/>
      <c r="G114" s="565"/>
      <c r="H114" s="565"/>
      <c r="I114" s="565"/>
      <c r="J114" s="565"/>
      <c r="K114" s="565"/>
      <c r="L114" s="565"/>
      <c r="M114" s="565"/>
      <c r="N114" s="565"/>
      <c r="O114" s="565"/>
      <c r="P114" s="581"/>
      <c r="Q114" s="565"/>
      <c r="R114" s="582"/>
      <c r="S114" s="582"/>
      <c r="T114" s="582"/>
      <c r="U114" s="582"/>
      <c r="V114" s="582"/>
      <c r="W114" s="582"/>
      <c r="X114" s="582"/>
      <c r="Y114" s="582"/>
      <c r="Z114" s="582"/>
      <c r="AA114" s="582"/>
      <c r="AB114" s="582"/>
      <c r="AC114" s="582"/>
      <c r="AD114" s="582"/>
      <c r="AE114" s="582"/>
      <c r="AF114" s="582"/>
      <c r="AG114" s="717"/>
      <c r="AH114" s="718"/>
      <c r="AI114" s="718"/>
      <c r="AJ114" s="718"/>
      <c r="AK114" s="582"/>
      <c r="AL114" s="582"/>
      <c r="AM114" s="582"/>
      <c r="AN114" s="582"/>
      <c r="AO114" s="582"/>
      <c r="AP114" s="582"/>
      <c r="AQ114" s="764"/>
      <c r="AR114" s="764"/>
      <c r="AS114" s="764"/>
      <c r="AT114" s="764"/>
      <c r="AU114" s="764"/>
      <c r="AV114" s="764"/>
      <c r="AW114" s="582"/>
      <c r="AX114" s="582"/>
      <c r="AY114" s="582"/>
      <c r="AZ114" s="582"/>
      <c r="BA114" s="582"/>
      <c r="BB114" s="582"/>
      <c r="BC114" s="582"/>
    </row>
    <row r="115" spans="1:55" hidden="1" x14ac:dyDescent="0.2">
      <c r="A115" s="559" t="s">
        <v>328</v>
      </c>
      <c r="B115" s="565"/>
      <c r="C115" s="565"/>
      <c r="D115" s="565"/>
      <c r="E115" s="565"/>
      <c r="F115" s="565"/>
      <c r="G115" s="565"/>
      <c r="H115" s="565"/>
      <c r="I115" s="565"/>
      <c r="J115" s="565"/>
      <c r="K115" s="565"/>
      <c r="L115" s="565"/>
      <c r="M115" s="565"/>
      <c r="N115" s="565"/>
      <c r="O115" s="565"/>
      <c r="P115" s="581"/>
      <c r="Q115" s="565"/>
      <c r="R115" s="582"/>
      <c r="S115" s="582"/>
      <c r="T115" s="582"/>
      <c r="U115" s="582"/>
      <c r="V115" s="582"/>
      <c r="W115" s="582"/>
      <c r="X115" s="582"/>
      <c r="Y115" s="582"/>
      <c r="Z115" s="582"/>
      <c r="AA115" s="582"/>
      <c r="AB115" s="582"/>
      <c r="AC115" s="582"/>
      <c r="AD115" s="582"/>
      <c r="AE115" s="582"/>
      <c r="AF115" s="582"/>
      <c r="AG115" s="717"/>
      <c r="AH115" s="718"/>
      <c r="AI115" s="718"/>
      <c r="AJ115" s="718"/>
      <c r="AK115" s="582"/>
      <c r="AL115" s="582"/>
      <c r="AM115" s="582"/>
      <c r="AN115" s="582"/>
      <c r="AO115" s="582"/>
      <c r="AP115" s="582"/>
      <c r="AQ115" s="764"/>
      <c r="AR115" s="764"/>
      <c r="AS115" s="764"/>
      <c r="AT115" s="764"/>
      <c r="AU115" s="764"/>
      <c r="AV115" s="764"/>
      <c r="AW115" s="582"/>
      <c r="AX115" s="582"/>
      <c r="AY115" s="582"/>
      <c r="AZ115" s="582"/>
      <c r="BA115" s="582"/>
      <c r="BB115" s="582"/>
      <c r="BC115" s="582"/>
    </row>
    <row r="116" spans="1:55" hidden="1" x14ac:dyDescent="0.2">
      <c r="A116" s="559" t="s">
        <v>329</v>
      </c>
      <c r="Q116" s="565"/>
      <c r="R116" s="582"/>
      <c r="S116" s="582"/>
      <c r="T116" s="582"/>
      <c r="U116" s="582"/>
      <c r="V116" s="582"/>
      <c r="W116" s="582"/>
      <c r="X116" s="582"/>
      <c r="Y116" s="582"/>
      <c r="Z116" s="582"/>
      <c r="AA116" s="582"/>
      <c r="AB116" s="582"/>
      <c r="AC116" s="582"/>
      <c r="AD116" s="582"/>
      <c r="AE116" s="582"/>
      <c r="AF116" s="582"/>
      <c r="AG116" s="717"/>
      <c r="AH116" s="718"/>
      <c r="AI116" s="718"/>
      <c r="AJ116" s="718"/>
      <c r="AK116" s="582"/>
      <c r="AL116" s="582"/>
      <c r="AM116" s="582"/>
      <c r="AN116" s="582"/>
      <c r="AO116" s="582"/>
      <c r="AP116" s="582"/>
      <c r="AQ116" s="764"/>
      <c r="AR116" s="764"/>
      <c r="AS116" s="764"/>
      <c r="AT116" s="764"/>
      <c r="AU116" s="764"/>
      <c r="AV116" s="764"/>
      <c r="AW116" s="582"/>
      <c r="AX116" s="582"/>
      <c r="AY116" s="582"/>
      <c r="AZ116" s="582"/>
      <c r="BA116" s="582"/>
      <c r="BB116" s="582"/>
      <c r="BC116" s="582"/>
    </row>
    <row r="117" spans="1:55" hidden="1" x14ac:dyDescent="0.2">
      <c r="A117" s="559" t="s">
        <v>330</v>
      </c>
      <c r="R117" s="582"/>
      <c r="S117" s="582"/>
      <c r="T117" s="582"/>
      <c r="U117" s="582"/>
      <c r="V117" s="582"/>
      <c r="W117" s="582"/>
      <c r="X117" s="582"/>
      <c r="Y117" s="582"/>
      <c r="Z117" s="582"/>
      <c r="AA117" s="582"/>
      <c r="AB117" s="582"/>
      <c r="AC117" s="582"/>
      <c r="AD117" s="582"/>
      <c r="AE117" s="582"/>
      <c r="AF117" s="582"/>
      <c r="AG117" s="717"/>
      <c r="AH117" s="718"/>
      <c r="AI117" s="718"/>
      <c r="AJ117" s="718"/>
      <c r="AK117" s="582"/>
      <c r="AL117" s="582"/>
      <c r="AM117" s="582"/>
      <c r="AN117" s="582"/>
      <c r="AO117" s="582"/>
      <c r="AP117" s="582"/>
      <c r="AQ117" s="764"/>
      <c r="AR117" s="764"/>
      <c r="AS117" s="764"/>
      <c r="AT117" s="764"/>
      <c r="AU117" s="764"/>
      <c r="AV117" s="764"/>
      <c r="AW117" s="582"/>
      <c r="AX117" s="582"/>
      <c r="AY117" s="582"/>
      <c r="AZ117" s="582"/>
      <c r="BA117" s="582"/>
      <c r="BB117" s="582"/>
      <c r="BC117" s="582"/>
    </row>
    <row r="118" spans="1:55" hidden="1" x14ac:dyDescent="0.2">
      <c r="A118" s="559" t="s">
        <v>331</v>
      </c>
      <c r="R118" s="582"/>
      <c r="S118" s="582"/>
      <c r="T118" s="582"/>
      <c r="U118" s="582"/>
      <c r="V118" s="582"/>
      <c r="W118" s="582"/>
      <c r="X118" s="582"/>
      <c r="Y118" s="582"/>
      <c r="Z118" s="582"/>
      <c r="AA118" s="582"/>
      <c r="AB118" s="582"/>
      <c r="AC118" s="582"/>
      <c r="AD118" s="582"/>
      <c r="AE118" s="582"/>
      <c r="AF118" s="582"/>
      <c r="AG118" s="717"/>
      <c r="AH118" s="718"/>
      <c r="AI118" s="718"/>
      <c r="AJ118" s="718"/>
      <c r="AK118" s="582"/>
      <c r="AL118" s="582"/>
      <c r="AM118" s="582"/>
      <c r="AN118" s="582"/>
      <c r="AO118" s="582"/>
      <c r="AP118" s="582"/>
      <c r="AQ118" s="764"/>
      <c r="AR118" s="764"/>
      <c r="AS118" s="764"/>
      <c r="AT118" s="764"/>
      <c r="AU118" s="764"/>
      <c r="AV118" s="764"/>
      <c r="AW118" s="582"/>
      <c r="AX118" s="582"/>
      <c r="AY118" s="582"/>
      <c r="AZ118" s="582"/>
      <c r="BA118" s="582"/>
      <c r="BB118" s="582"/>
      <c r="BC118" s="582"/>
    </row>
    <row r="119" spans="1:55" hidden="1" x14ac:dyDescent="0.2">
      <c r="A119" s="559" t="s">
        <v>332</v>
      </c>
      <c r="R119" s="582"/>
      <c r="S119" s="582"/>
      <c r="T119" s="582"/>
      <c r="U119" s="582"/>
      <c r="V119" s="582"/>
      <c r="W119" s="582"/>
      <c r="X119" s="582"/>
      <c r="Y119" s="582"/>
      <c r="Z119" s="582"/>
      <c r="AA119" s="582"/>
      <c r="AB119" s="582"/>
      <c r="AC119" s="582"/>
      <c r="AD119" s="582"/>
      <c r="AE119" s="582"/>
      <c r="AF119" s="582"/>
      <c r="AG119" s="717"/>
      <c r="AH119" s="718"/>
      <c r="AI119" s="718"/>
      <c r="AJ119" s="718"/>
      <c r="AK119" s="582"/>
      <c r="AL119" s="582"/>
      <c r="AM119" s="582"/>
      <c r="AN119" s="582"/>
      <c r="AO119" s="582"/>
      <c r="AP119" s="582"/>
      <c r="AQ119" s="764"/>
      <c r="AR119" s="764"/>
      <c r="AS119" s="764"/>
      <c r="AT119" s="764"/>
      <c r="AU119" s="764"/>
      <c r="AV119" s="764"/>
      <c r="AW119" s="582"/>
      <c r="AX119" s="582"/>
      <c r="AY119" s="582"/>
      <c r="AZ119" s="582"/>
      <c r="BA119" s="582"/>
      <c r="BB119" s="582"/>
      <c r="BC119" s="582"/>
    </row>
    <row r="120" spans="1:55" x14ac:dyDescent="0.2">
      <c r="R120" s="582"/>
      <c r="S120" s="582"/>
      <c r="T120" s="582"/>
      <c r="U120" s="582"/>
      <c r="V120" s="582"/>
      <c r="W120" s="582"/>
      <c r="X120" s="582"/>
      <c r="Y120" s="582"/>
      <c r="Z120" s="582"/>
      <c r="AA120" s="582"/>
      <c r="AB120" s="582"/>
      <c r="AC120" s="582"/>
      <c r="AD120" s="582"/>
      <c r="AE120" s="582"/>
      <c r="AF120" s="582"/>
      <c r="AG120" s="717"/>
      <c r="AH120" s="718"/>
      <c r="AI120" s="718"/>
      <c r="AJ120" s="718"/>
      <c r="AK120" s="582"/>
      <c r="AL120" s="582"/>
      <c r="AM120" s="582"/>
      <c r="AN120" s="582"/>
      <c r="AO120" s="582"/>
      <c r="AP120" s="582"/>
      <c r="AQ120" s="764"/>
      <c r="AR120" s="764"/>
      <c r="AS120" s="764"/>
      <c r="AT120" s="764"/>
      <c r="AU120" s="764"/>
      <c r="AV120" s="764"/>
      <c r="AW120" s="582"/>
      <c r="AX120" s="582"/>
      <c r="AY120" s="582"/>
      <c r="AZ120" s="582"/>
      <c r="BA120" s="582"/>
      <c r="BB120" s="582"/>
      <c r="BC120" s="582"/>
    </row>
    <row r="121" spans="1:55" x14ac:dyDescent="0.2">
      <c r="R121" s="582"/>
      <c r="S121" s="582"/>
      <c r="T121" s="582"/>
      <c r="U121" s="582"/>
      <c r="V121" s="582"/>
      <c r="W121" s="582"/>
      <c r="X121" s="582"/>
      <c r="Y121" s="582"/>
      <c r="Z121" s="582"/>
      <c r="AA121" s="582"/>
      <c r="AB121" s="582"/>
      <c r="AC121" s="582"/>
      <c r="AD121" s="582"/>
      <c r="AE121" s="582"/>
      <c r="AF121" s="582"/>
      <c r="AG121" s="717"/>
      <c r="AH121" s="718"/>
      <c r="AI121" s="718"/>
      <c r="AJ121" s="718"/>
      <c r="AK121" s="582"/>
      <c r="AL121" s="582"/>
      <c r="AM121" s="582"/>
      <c r="AN121" s="582"/>
      <c r="AO121" s="582"/>
      <c r="AP121" s="582"/>
      <c r="AQ121" s="764"/>
      <c r="AR121" s="764"/>
      <c r="AS121" s="764"/>
      <c r="AT121" s="764"/>
      <c r="AU121" s="764"/>
      <c r="AV121" s="764"/>
      <c r="AW121" s="582"/>
      <c r="AX121" s="582"/>
      <c r="AY121" s="582"/>
      <c r="AZ121" s="582"/>
      <c r="BA121" s="582"/>
      <c r="BB121" s="582"/>
      <c r="BC121" s="582"/>
    </row>
    <row r="122" spans="1:55" x14ac:dyDescent="0.2">
      <c r="R122" s="582"/>
      <c r="S122" s="582"/>
      <c r="T122" s="582"/>
      <c r="U122" s="582"/>
      <c r="V122" s="582"/>
      <c r="W122" s="582"/>
      <c r="X122" s="582"/>
      <c r="Y122" s="582"/>
      <c r="Z122" s="582"/>
      <c r="AA122" s="582"/>
      <c r="AB122" s="582"/>
      <c r="AC122" s="582"/>
      <c r="AD122" s="582"/>
      <c r="AE122" s="582"/>
      <c r="AF122" s="582"/>
      <c r="AG122" s="717"/>
      <c r="AH122" s="718"/>
      <c r="AI122" s="718"/>
      <c r="AJ122" s="718"/>
      <c r="AK122" s="582"/>
      <c r="AL122" s="582"/>
      <c r="AM122" s="582"/>
      <c r="AN122" s="582"/>
      <c r="AO122" s="582"/>
      <c r="AP122" s="582"/>
      <c r="AQ122" s="764"/>
      <c r="AR122" s="764"/>
      <c r="AS122" s="764"/>
      <c r="AT122" s="764"/>
      <c r="AU122" s="764"/>
      <c r="AV122" s="764"/>
      <c r="AW122" s="582"/>
      <c r="AX122" s="582"/>
      <c r="AY122" s="582"/>
      <c r="AZ122" s="582"/>
      <c r="BA122" s="582"/>
      <c r="BB122" s="582"/>
      <c r="BC122" s="582"/>
    </row>
    <row r="123" spans="1:55" x14ac:dyDescent="0.2">
      <c r="R123" s="582"/>
      <c r="S123" s="582"/>
      <c r="T123" s="582"/>
      <c r="U123" s="582"/>
      <c r="V123" s="582"/>
      <c r="W123" s="582"/>
      <c r="X123" s="582"/>
      <c r="Y123" s="582"/>
      <c r="Z123" s="582"/>
      <c r="AA123" s="582"/>
      <c r="AB123" s="582"/>
      <c r="AC123" s="582"/>
      <c r="AD123" s="582"/>
      <c r="AE123" s="582"/>
      <c r="AF123" s="582"/>
      <c r="AG123" s="717"/>
      <c r="AH123" s="718"/>
      <c r="AI123" s="718"/>
      <c r="AJ123" s="718"/>
      <c r="AK123" s="582"/>
      <c r="AL123" s="582"/>
      <c r="AM123" s="582"/>
      <c r="AN123" s="582"/>
      <c r="AO123" s="582"/>
      <c r="AP123" s="582"/>
      <c r="AQ123" s="764"/>
      <c r="AR123" s="764"/>
      <c r="AS123" s="764"/>
      <c r="AT123" s="764"/>
      <c r="AU123" s="764"/>
      <c r="AV123" s="764"/>
      <c r="AW123" s="582"/>
      <c r="AX123" s="582"/>
      <c r="AY123" s="582"/>
      <c r="AZ123" s="582"/>
      <c r="BA123" s="582"/>
      <c r="BB123" s="582"/>
      <c r="BC123" s="582"/>
    </row>
    <row r="124" spans="1:55" x14ac:dyDescent="0.2">
      <c r="R124" s="582"/>
      <c r="S124" s="582"/>
      <c r="T124" s="582"/>
      <c r="U124" s="582"/>
      <c r="V124" s="582"/>
      <c r="W124" s="582"/>
      <c r="X124" s="582"/>
      <c r="Y124" s="582"/>
      <c r="Z124" s="582"/>
      <c r="AA124" s="582"/>
      <c r="AB124" s="582"/>
      <c r="AC124" s="582"/>
      <c r="AD124" s="582"/>
      <c r="AE124" s="582"/>
      <c r="AF124" s="582"/>
      <c r="AG124" s="717"/>
      <c r="AH124" s="718"/>
      <c r="AI124" s="718"/>
      <c r="AJ124" s="718"/>
      <c r="AK124" s="582"/>
      <c r="AL124" s="582"/>
      <c r="AM124" s="582"/>
      <c r="AN124" s="582"/>
      <c r="AO124" s="582"/>
      <c r="AP124" s="582"/>
      <c r="AQ124" s="764"/>
      <c r="AR124" s="764"/>
      <c r="AS124" s="764"/>
      <c r="AT124" s="764"/>
      <c r="AU124" s="764"/>
      <c r="AV124" s="764"/>
      <c r="AW124" s="582"/>
      <c r="AX124" s="582"/>
      <c r="AY124" s="582"/>
      <c r="AZ124" s="582"/>
      <c r="BA124" s="582"/>
      <c r="BB124" s="582"/>
      <c r="BC124" s="582"/>
    </row>
    <row r="125" spans="1:55" x14ac:dyDescent="0.2">
      <c r="R125" s="582"/>
      <c r="S125" s="582"/>
      <c r="T125" s="582"/>
      <c r="U125" s="582"/>
      <c r="V125" s="582"/>
      <c r="W125" s="582"/>
      <c r="X125" s="582"/>
      <c r="Y125" s="582"/>
      <c r="Z125" s="582"/>
      <c r="AA125" s="582"/>
      <c r="AB125" s="582"/>
      <c r="AC125" s="582"/>
      <c r="AD125" s="582"/>
      <c r="AE125" s="582"/>
      <c r="AF125" s="582"/>
      <c r="AG125" s="717"/>
      <c r="AH125" s="718"/>
      <c r="AI125" s="718"/>
      <c r="AJ125" s="718"/>
      <c r="AK125" s="582"/>
      <c r="AL125" s="582"/>
      <c r="AM125" s="582"/>
      <c r="AN125" s="582"/>
      <c r="AO125" s="582"/>
      <c r="AP125" s="582"/>
      <c r="AQ125" s="764"/>
      <c r="AR125" s="764"/>
      <c r="AS125" s="764"/>
      <c r="AT125" s="764"/>
      <c r="AU125" s="764"/>
      <c r="AV125" s="764"/>
      <c r="AW125" s="582"/>
      <c r="AX125" s="582"/>
      <c r="AY125" s="582"/>
      <c r="AZ125" s="582"/>
      <c r="BA125" s="582"/>
      <c r="BB125" s="582"/>
      <c r="BC125" s="582"/>
    </row>
    <row r="126" spans="1:55" x14ac:dyDescent="0.2">
      <c r="R126" s="582"/>
      <c r="S126" s="582"/>
      <c r="T126" s="582"/>
      <c r="U126" s="582"/>
      <c r="V126" s="582"/>
      <c r="W126" s="582"/>
      <c r="X126" s="582"/>
      <c r="Y126" s="582"/>
      <c r="Z126" s="582"/>
      <c r="AA126" s="582"/>
      <c r="AB126" s="582"/>
      <c r="AC126" s="582"/>
      <c r="AD126" s="582"/>
      <c r="AE126" s="582"/>
      <c r="AF126" s="582"/>
      <c r="AG126" s="717"/>
      <c r="AH126" s="718"/>
      <c r="AI126" s="718"/>
      <c r="AJ126" s="718"/>
      <c r="AK126" s="582"/>
      <c r="AL126" s="582"/>
      <c r="AM126" s="582"/>
      <c r="AN126" s="582"/>
      <c r="AO126" s="582"/>
      <c r="AP126" s="582"/>
      <c r="AQ126" s="764"/>
      <c r="AR126" s="764"/>
      <c r="AS126" s="764"/>
      <c r="AT126" s="764"/>
      <c r="AU126" s="764"/>
      <c r="AV126" s="764"/>
      <c r="AW126" s="582"/>
      <c r="AX126" s="582"/>
      <c r="AY126" s="582"/>
      <c r="AZ126" s="582"/>
      <c r="BA126" s="582"/>
      <c r="BB126" s="582"/>
      <c r="BC126" s="582"/>
    </row>
    <row r="127" spans="1:55" x14ac:dyDescent="0.2">
      <c r="R127" s="582"/>
      <c r="S127" s="582"/>
      <c r="T127" s="582"/>
      <c r="U127" s="582"/>
      <c r="V127" s="582"/>
      <c r="W127" s="582"/>
      <c r="X127" s="582"/>
      <c r="Y127" s="582"/>
      <c r="Z127" s="582"/>
      <c r="AA127" s="582"/>
      <c r="AB127" s="582"/>
      <c r="AC127" s="582"/>
      <c r="AD127" s="582"/>
      <c r="AE127" s="582"/>
      <c r="AF127" s="582"/>
      <c r="AG127" s="717"/>
      <c r="AH127" s="718"/>
      <c r="AI127" s="718"/>
      <c r="AJ127" s="718"/>
      <c r="AK127" s="582"/>
      <c r="AL127" s="582"/>
      <c r="AM127" s="582"/>
      <c r="AN127" s="582"/>
      <c r="AO127" s="582"/>
      <c r="AP127" s="582"/>
      <c r="AQ127" s="764"/>
      <c r="AR127" s="764"/>
      <c r="AS127" s="764"/>
      <c r="AT127" s="764"/>
      <c r="AU127" s="764"/>
      <c r="AV127" s="764"/>
      <c r="AW127" s="582"/>
      <c r="AX127" s="582"/>
      <c r="AY127" s="582"/>
      <c r="AZ127" s="582"/>
      <c r="BA127" s="582"/>
      <c r="BB127" s="582"/>
      <c r="BC127" s="582"/>
    </row>
    <row r="128" spans="1:55" x14ac:dyDescent="0.2">
      <c r="R128" s="582"/>
      <c r="S128" s="582"/>
      <c r="T128" s="891"/>
      <c r="U128" s="892"/>
      <c r="V128" s="892"/>
      <c r="W128" s="892"/>
      <c r="X128" s="582"/>
      <c r="Y128" s="582"/>
      <c r="Z128" s="582"/>
      <c r="AA128" s="582"/>
      <c r="AB128" s="582"/>
      <c r="AC128" s="582"/>
      <c r="AD128" s="582"/>
      <c r="AE128" s="582"/>
      <c r="AF128" s="582"/>
      <c r="AG128" s="582"/>
      <c r="AH128" s="582"/>
      <c r="AI128" s="582"/>
      <c r="AJ128" s="582"/>
      <c r="AK128" s="582"/>
      <c r="AL128" s="582"/>
      <c r="AM128" s="582"/>
      <c r="AN128" s="582"/>
      <c r="AO128" s="582"/>
      <c r="AP128" s="582"/>
      <c r="AQ128" s="764"/>
      <c r="AR128" s="764"/>
      <c r="AS128" s="764"/>
      <c r="AT128" s="764"/>
      <c r="AU128" s="764"/>
      <c r="AV128" s="764"/>
      <c r="AW128" s="582"/>
      <c r="AX128" s="582"/>
      <c r="AY128" s="582"/>
      <c r="AZ128" s="582"/>
      <c r="BA128" s="582"/>
      <c r="BB128" s="582"/>
      <c r="BC128" s="582"/>
    </row>
    <row r="129" spans="18:55" x14ac:dyDescent="0.2">
      <c r="R129" s="582"/>
      <c r="S129" s="582"/>
      <c r="T129" s="891"/>
      <c r="U129" s="892"/>
      <c r="V129" s="892"/>
      <c r="W129" s="892"/>
      <c r="X129" s="582"/>
      <c r="Y129" s="582"/>
      <c r="Z129" s="582"/>
      <c r="AA129" s="582"/>
      <c r="AB129" s="582"/>
      <c r="AC129" s="582"/>
      <c r="AD129" s="582"/>
      <c r="AE129" s="582"/>
      <c r="AF129" s="582"/>
      <c r="AG129" s="582"/>
      <c r="AH129" s="582"/>
      <c r="AI129" s="582"/>
      <c r="AJ129" s="582"/>
      <c r="AK129" s="582"/>
      <c r="AL129" s="582"/>
      <c r="AM129" s="582"/>
      <c r="AN129" s="582"/>
      <c r="AO129" s="582"/>
      <c r="AP129" s="905"/>
      <c r="AQ129" s="764"/>
      <c r="AR129" s="764"/>
      <c r="AS129" s="764"/>
      <c r="AT129" s="764"/>
      <c r="AU129" s="764"/>
      <c r="AV129" s="764"/>
      <c r="AW129" s="582"/>
      <c r="AX129" s="582"/>
      <c r="AY129" s="582"/>
      <c r="AZ129" s="582"/>
      <c r="BA129" s="582"/>
      <c r="BB129" s="582"/>
      <c r="BC129" s="582"/>
    </row>
    <row r="130" spans="18:55" x14ac:dyDescent="0.2">
      <c r="R130" s="582"/>
      <c r="S130" s="582"/>
      <c r="T130" s="891"/>
      <c r="U130" s="892"/>
      <c r="V130" s="892"/>
      <c r="W130" s="892"/>
      <c r="X130" s="582"/>
      <c r="Y130" s="582"/>
      <c r="Z130" s="582"/>
      <c r="AA130" s="582"/>
      <c r="AB130" s="582"/>
      <c r="AC130" s="582"/>
      <c r="AD130" s="582"/>
      <c r="AE130" s="582"/>
      <c r="AF130" s="582"/>
      <c r="AG130" s="582"/>
      <c r="AH130" s="582"/>
      <c r="AI130" s="582"/>
      <c r="AJ130" s="582"/>
      <c r="AK130" s="582"/>
      <c r="AL130" s="582"/>
      <c r="AM130" s="582"/>
      <c r="AN130" s="582"/>
      <c r="AO130" s="582"/>
      <c r="AP130" s="905"/>
      <c r="AQ130" s="764"/>
      <c r="AR130" s="764"/>
      <c r="AS130" s="764"/>
      <c r="AT130" s="764"/>
      <c r="AU130" s="764"/>
      <c r="AV130" s="764"/>
      <c r="AW130" s="582"/>
      <c r="AX130" s="582"/>
      <c r="AY130" s="582"/>
      <c r="AZ130" s="582"/>
      <c r="BA130" s="582"/>
      <c r="BB130" s="582"/>
      <c r="BC130" s="582"/>
    </row>
    <row r="131" spans="18:55" x14ac:dyDescent="0.2">
      <c r="R131" s="582"/>
      <c r="S131" s="582"/>
      <c r="T131" s="891"/>
      <c r="U131" s="892"/>
      <c r="V131" s="892"/>
      <c r="W131" s="892"/>
      <c r="X131" s="582"/>
      <c r="Y131" s="582"/>
      <c r="Z131" s="582"/>
      <c r="AA131" s="582"/>
      <c r="AB131" s="582"/>
      <c r="AC131" s="582"/>
      <c r="AD131" s="582"/>
      <c r="AE131" s="582"/>
      <c r="AF131" s="582"/>
      <c r="AG131" s="582"/>
      <c r="AH131" s="582"/>
      <c r="AI131" s="582"/>
      <c r="AJ131" s="582"/>
      <c r="AK131" s="582"/>
      <c r="AL131" s="582"/>
      <c r="AM131" s="582"/>
      <c r="AN131" s="582"/>
      <c r="AO131" s="582"/>
      <c r="AP131" s="905"/>
      <c r="AQ131" s="882"/>
      <c r="AR131" s="882"/>
      <c r="AS131" s="882"/>
      <c r="AT131" s="882"/>
      <c r="AU131" s="882"/>
      <c r="AV131" s="882"/>
      <c r="AW131" s="882"/>
      <c r="AX131" s="882"/>
      <c r="AY131" s="582"/>
      <c r="AZ131" s="582"/>
      <c r="BA131" s="582"/>
      <c r="BB131" s="582"/>
      <c r="BC131" s="582"/>
    </row>
    <row r="132" spans="18:55" x14ac:dyDescent="0.2">
      <c r="R132" s="582"/>
      <c r="S132" s="582"/>
      <c r="T132" s="891"/>
      <c r="U132" s="892"/>
      <c r="V132" s="892"/>
      <c r="W132" s="892"/>
      <c r="X132" s="582"/>
      <c r="Y132" s="582"/>
      <c r="Z132" s="582"/>
      <c r="AA132" s="582"/>
      <c r="AB132" s="582"/>
      <c r="AC132" s="582"/>
      <c r="AD132" s="582"/>
      <c r="AE132" s="582"/>
      <c r="AF132" s="582"/>
      <c r="AG132" s="582"/>
      <c r="AH132" s="582"/>
      <c r="AI132" s="582"/>
      <c r="AJ132" s="582"/>
      <c r="AK132" s="582"/>
      <c r="AL132" s="582"/>
      <c r="AM132" s="582"/>
      <c r="AN132" s="582"/>
      <c r="AO132" s="582"/>
      <c r="AP132" s="905"/>
      <c r="AQ132" s="882"/>
      <c r="AR132" s="881" t="s">
        <v>406</v>
      </c>
      <c r="AS132" s="882"/>
      <c r="AT132" s="882"/>
      <c r="AU132" s="882"/>
      <c r="AV132" s="882"/>
      <c r="AW132" s="882"/>
      <c r="AX132" s="882"/>
      <c r="AY132" s="582"/>
      <c r="AZ132" s="582"/>
      <c r="BA132" s="582"/>
      <c r="BB132" s="582"/>
      <c r="BC132" s="582"/>
    </row>
    <row r="133" spans="18:55" x14ac:dyDescent="0.2">
      <c r="R133" s="582"/>
      <c r="S133" s="582"/>
      <c r="T133" s="891"/>
      <c r="U133" s="892"/>
      <c r="V133" s="892"/>
      <c r="W133" s="892"/>
      <c r="X133" s="582"/>
      <c r="Y133" s="582"/>
      <c r="Z133" s="582"/>
      <c r="AA133" s="582"/>
      <c r="AB133" s="582"/>
      <c r="AC133" s="582"/>
      <c r="AD133" s="582"/>
      <c r="AE133" s="582"/>
      <c r="AF133" s="582"/>
      <c r="AG133" s="582"/>
      <c r="AH133" s="582"/>
      <c r="AI133" s="582"/>
      <c r="AJ133" s="582"/>
      <c r="AK133" s="582"/>
      <c r="AL133" s="582"/>
      <c r="AM133" s="582"/>
      <c r="AN133" s="582"/>
      <c r="AO133" s="582"/>
      <c r="AP133" s="905"/>
      <c r="AQ133" s="882"/>
      <c r="AR133" s="882" t="str">
        <f>IF(T18=2,AQ21,IF(T18=3,AQ22,IF(T18=4,AQ23,IF(T18=5,AQ24,IF(T18=6,AQ25,IF(T18=7,AQ26,IF(T18=8,AQ27,IF(T18=9,AQ28,IF(T18=10,AQ29,IF(T18=11,AQ30,IF(T18=12,AQ31,IF(T18=13,AQ32,""))))))))))))</f>
        <v/>
      </c>
      <c r="AS133" s="882" t="str">
        <f>IF(X18=2,AQ21,IF(X18=3,AQ22,IF(X18=4,AQ23,IF(X18=5,AQ24,IF(X18=6,AQ25,IF(X18=7,AQ26,IF(X18=8,AQ27,IF(X18=9,AQ28,IF(X18=10,AQ29,IF(X18=11,AQ30,IF(X18=12,AQ31,IF(X18=13,AQ32,""))))))))))))</f>
        <v/>
      </c>
      <c r="AT133" s="882" t="str">
        <f>IF(AB18=2,AQ21,IF(AB18=3,AQ22,IF(AB18=4,AQ23,IF(AB18=5,AQ24,IF(AB18=6,AQ25,IF(AB18=7,AQ26,IF(AB18=8,AQ27,IF(AB18=9,AQ28,IF(AB18=10,AQ29,IF(AB18=11,AQ30,IF(AB18=12,AQ31,IF(AB18=13,AQ32,""))))))))))))</f>
        <v/>
      </c>
      <c r="AU133" s="882"/>
      <c r="AV133" s="882"/>
      <c r="AW133" s="882"/>
      <c r="AX133" s="882"/>
      <c r="AY133" s="582"/>
      <c r="AZ133" s="582"/>
      <c r="BA133" s="582"/>
      <c r="BB133" s="582"/>
      <c r="BC133" s="582"/>
    </row>
    <row r="134" spans="18:55" x14ac:dyDescent="0.2">
      <c r="R134" s="582"/>
      <c r="S134" s="582"/>
      <c r="T134" s="891"/>
      <c r="U134" s="892"/>
      <c r="V134" s="892"/>
      <c r="W134" s="892"/>
      <c r="X134" s="582"/>
      <c r="Y134" s="582"/>
      <c r="Z134" s="582"/>
      <c r="AA134" s="582"/>
      <c r="AB134" s="582"/>
      <c r="AC134" s="582"/>
      <c r="AD134" s="582"/>
      <c r="AE134" s="582"/>
      <c r="AF134" s="582"/>
      <c r="AG134" s="582"/>
      <c r="AH134" s="582"/>
      <c r="AI134" s="582"/>
      <c r="AJ134" s="582"/>
      <c r="AK134" s="582"/>
      <c r="AL134" s="582"/>
      <c r="AM134" s="582"/>
      <c r="AN134" s="582"/>
      <c r="AO134" s="582"/>
      <c r="AP134" s="905"/>
      <c r="AQ134" s="882" t="s">
        <v>407</v>
      </c>
      <c r="AR134" s="883" t="str">
        <f>E42</f>
        <v/>
      </c>
      <c r="AS134" s="883" t="str">
        <f>I42</f>
        <v/>
      </c>
      <c r="AT134" s="883" t="str">
        <f>M42</f>
        <v/>
      </c>
      <c r="AU134" s="882"/>
      <c r="AV134" s="882"/>
      <c r="AW134" s="882"/>
      <c r="AX134" s="882"/>
      <c r="AY134" s="582"/>
      <c r="AZ134" s="582"/>
      <c r="BA134" s="582"/>
      <c r="BB134" s="582"/>
      <c r="BC134" s="582"/>
    </row>
    <row r="135" spans="18:55" x14ac:dyDescent="0.2">
      <c r="R135" s="582"/>
      <c r="S135" s="582"/>
      <c r="T135" s="891"/>
      <c r="U135" s="892"/>
      <c r="V135" s="892"/>
      <c r="W135" s="892"/>
      <c r="X135" s="582"/>
      <c r="Y135" s="582"/>
      <c r="Z135" s="582"/>
      <c r="AA135" s="582"/>
      <c r="AB135" s="582"/>
      <c r="AC135" s="582"/>
      <c r="AD135" s="582"/>
      <c r="AE135" s="582"/>
      <c r="AF135" s="582"/>
      <c r="AG135" s="582"/>
      <c r="AH135" s="582"/>
      <c r="AI135" s="582"/>
      <c r="AJ135" s="582"/>
      <c r="AK135" s="582"/>
      <c r="AL135" s="582"/>
      <c r="AM135" s="582"/>
      <c r="AN135" s="582"/>
      <c r="AO135" s="582"/>
      <c r="AP135" s="905"/>
      <c r="AQ135" s="882" t="s">
        <v>408</v>
      </c>
      <c r="AR135" s="886">
        <f>16.4*$D13</f>
        <v>0</v>
      </c>
      <c r="AS135" s="886">
        <f>16.4*$D13</f>
        <v>0</v>
      </c>
      <c r="AT135" s="886">
        <f>16.4*$D13</f>
        <v>0</v>
      </c>
      <c r="AU135" s="882"/>
      <c r="AV135" s="882"/>
      <c r="AW135" s="882"/>
      <c r="AX135" s="882"/>
      <c r="AY135" s="582"/>
      <c r="AZ135" s="582"/>
      <c r="BA135" s="582"/>
      <c r="BB135" s="582"/>
      <c r="BC135" s="582"/>
    </row>
    <row r="136" spans="18:55" x14ac:dyDescent="0.2">
      <c r="R136" s="582"/>
      <c r="S136" s="582"/>
      <c r="T136" s="891"/>
      <c r="U136" s="892"/>
      <c r="V136" s="892"/>
      <c r="W136" s="892"/>
      <c r="X136" s="582"/>
      <c r="Y136" s="582"/>
      <c r="Z136" s="582"/>
      <c r="AA136" s="582"/>
      <c r="AB136" s="582"/>
      <c r="AC136" s="582"/>
      <c r="AD136" s="582"/>
      <c r="AE136" s="582"/>
      <c r="AF136" s="582"/>
      <c r="AG136" s="582"/>
      <c r="AH136" s="582"/>
      <c r="AI136" s="582"/>
      <c r="AJ136" s="582"/>
      <c r="AK136" s="582"/>
      <c r="AL136" s="582"/>
      <c r="AM136" s="582"/>
      <c r="AN136" s="582"/>
      <c r="AO136" s="582"/>
      <c r="AP136" s="905"/>
      <c r="AQ136" s="882" t="s">
        <v>409</v>
      </c>
      <c r="AR136" s="883">
        <f>SUM(AR134:AR135)</f>
        <v>0</v>
      </c>
      <c r="AS136" s="883">
        <f>SUM(AS134:AS135)</f>
        <v>0</v>
      </c>
      <c r="AT136" s="883">
        <f>SUM(AT134:AT135)</f>
        <v>0</v>
      </c>
      <c r="AU136" s="882"/>
      <c r="AV136" s="882"/>
      <c r="AW136" s="882"/>
      <c r="AX136" s="882"/>
      <c r="AY136" s="582"/>
      <c r="AZ136" s="582"/>
      <c r="BA136" s="582"/>
      <c r="BB136" s="582"/>
      <c r="BC136" s="582"/>
    </row>
    <row r="137" spans="18:55" x14ac:dyDescent="0.2">
      <c r="R137" s="582"/>
      <c r="S137" s="582"/>
      <c r="T137" s="891"/>
      <c r="U137" s="892"/>
      <c r="V137" s="892"/>
      <c r="W137" s="892"/>
      <c r="X137" s="582"/>
      <c r="Y137" s="582"/>
      <c r="Z137" s="582"/>
      <c r="AA137" s="582"/>
      <c r="AB137" s="582"/>
      <c r="AC137" s="582"/>
      <c r="AD137" s="582"/>
      <c r="AE137" s="582"/>
      <c r="AF137" s="582"/>
      <c r="AG137" s="582"/>
      <c r="AH137" s="582"/>
      <c r="AI137" s="582"/>
      <c r="AJ137" s="582"/>
      <c r="AK137" s="582"/>
      <c r="AL137" s="582"/>
      <c r="AM137" s="582"/>
      <c r="AN137" s="582"/>
      <c r="AO137" s="582"/>
      <c r="AP137" s="905"/>
      <c r="AQ137" s="882" t="s">
        <v>410</v>
      </c>
      <c r="AR137" s="882" t="str">
        <f>IF(T18=1,"",IF(T18=2,AP21,IF(T18=3,AP22,IF(T18=4,AP23,IF(T18=5,AP24,IF(T18=6,AP25,IF(T18=7,AP26,IF(T18=8,AP27,IF(T18=9,AP28,IF(T18=10,AP29,IF(T18=11,AP30,IF(T18=12,AP31,IF(T18=13,AP32,"")))))))))))))</f>
        <v/>
      </c>
      <c r="AS137" s="882" t="str">
        <f>IF(X18=1,"",IF(X18=2,AP21,IF(X18=3,AP22,IF(X18=4,AP23,IF(X18=5,AP24,IF(X18=6,AP25,IF(X18=7,AP26,IF(X18=8,AP27,IF(X18=9,AP28,IF(X18=10,AP29,IF(X18=11,AP30,IF(X18=12,AP31,IF(X18=13,AP32,"")))))))))))))</f>
        <v/>
      </c>
      <c r="AT137" s="882" t="str">
        <f>IF(AB18=1,"",IF(AB18=2,AP21,IF(AB18=3,AP22,IF(AB18=4,AP23,IF(AB18=5,AP24,IF(AB18=6,AP25,IF(AB18=7,AP26,IF(AB18=8,AP27,IF(AB18=9,AP28,IF(AB18=10,AP29,IF(AB18=11,AP30,IF(AB18=12,AP31,IF(AB18=13,AP32,"")))))))))))))</f>
        <v/>
      </c>
      <c r="AU137" s="882"/>
      <c r="AV137" s="882"/>
      <c r="AW137" s="882"/>
      <c r="AX137" s="882"/>
      <c r="AY137" s="582"/>
      <c r="AZ137" s="582"/>
      <c r="BA137" s="582"/>
      <c r="BB137" s="582"/>
      <c r="BC137" s="582"/>
    </row>
    <row r="138" spans="18:55" x14ac:dyDescent="0.2">
      <c r="R138" s="582"/>
      <c r="S138" s="582"/>
      <c r="T138" s="891"/>
      <c r="U138" s="891"/>
      <c r="V138" s="891"/>
      <c r="W138" s="891"/>
      <c r="X138" s="582"/>
      <c r="Y138" s="582"/>
      <c r="Z138" s="582"/>
      <c r="AA138" s="582"/>
      <c r="AB138" s="582"/>
      <c r="AC138" s="582"/>
      <c r="AD138" s="582"/>
      <c r="AE138" s="582"/>
      <c r="AF138" s="582"/>
      <c r="AG138" s="582"/>
      <c r="AH138" s="582"/>
      <c r="AI138" s="582"/>
      <c r="AJ138" s="582"/>
      <c r="AK138" s="582"/>
      <c r="AL138" s="582"/>
      <c r="AM138" s="582"/>
      <c r="AN138" s="582"/>
      <c r="AO138" s="582"/>
      <c r="AP138" s="905"/>
      <c r="AQ138" s="882" t="s">
        <v>413</v>
      </c>
      <c r="AR138" s="898" t="e">
        <f>AR134*AR137</f>
        <v>#VALUE!</v>
      </c>
      <c r="AS138" s="898" t="e">
        <f>AS134*AS137</f>
        <v>#VALUE!</v>
      </c>
      <c r="AT138" s="898" t="e">
        <f>AT134*AT137</f>
        <v>#VALUE!</v>
      </c>
      <c r="AU138" s="882" t="s">
        <v>415</v>
      </c>
      <c r="AV138" s="882"/>
      <c r="AW138" s="882" t="s">
        <v>412</v>
      </c>
      <c r="AX138" s="882"/>
      <c r="AY138" s="582"/>
      <c r="AZ138" s="582"/>
      <c r="BA138" s="582"/>
      <c r="BB138" s="582"/>
      <c r="BC138" s="582"/>
    </row>
    <row r="139" spans="18:55" x14ac:dyDescent="0.2">
      <c r="R139" s="582"/>
      <c r="S139" s="582"/>
      <c r="T139" s="581"/>
      <c r="U139" s="582"/>
      <c r="V139" s="582"/>
      <c r="W139" s="582"/>
      <c r="X139" s="582"/>
      <c r="Y139" s="582"/>
      <c r="Z139" s="582"/>
      <c r="AA139" s="582"/>
      <c r="AB139" s="582"/>
      <c r="AC139" s="582"/>
      <c r="AD139" s="582"/>
      <c r="AE139" s="582"/>
      <c r="AF139" s="582"/>
      <c r="AG139" s="582"/>
      <c r="AH139" s="582"/>
      <c r="AI139" s="582"/>
      <c r="AJ139" s="582"/>
      <c r="AK139" s="582"/>
      <c r="AL139" s="582"/>
      <c r="AM139" s="582"/>
      <c r="AN139" s="582"/>
      <c r="AO139" s="582"/>
      <c r="AP139" s="905"/>
      <c r="AQ139" s="882"/>
      <c r="AR139" s="884" t="e">
        <f>AR138/1000</f>
        <v>#VALUE!</v>
      </c>
      <c r="AS139" s="884" t="e">
        <f>AS138/1000</f>
        <v>#VALUE!</v>
      </c>
      <c r="AT139" s="884" t="e">
        <f>AT138/1000</f>
        <v>#VALUE!</v>
      </c>
      <c r="AU139" s="882" t="s">
        <v>416</v>
      </c>
      <c r="AV139" s="882"/>
      <c r="AW139" s="882" t="s">
        <v>414</v>
      </c>
      <c r="AX139" s="882"/>
      <c r="AY139" s="582"/>
      <c r="AZ139" s="582"/>
      <c r="BA139" s="582"/>
      <c r="BB139" s="582"/>
      <c r="BC139" s="582"/>
    </row>
    <row r="140" spans="18:55" x14ac:dyDescent="0.2">
      <c r="R140" s="582"/>
      <c r="S140" s="582"/>
      <c r="T140" s="581"/>
      <c r="U140" s="582"/>
      <c r="V140" s="582"/>
      <c r="W140" s="582"/>
      <c r="X140" s="582"/>
      <c r="Y140" s="582"/>
      <c r="Z140" s="582"/>
      <c r="AA140" s="582"/>
      <c r="AB140" s="582"/>
      <c r="AC140" s="582"/>
      <c r="AD140" s="582"/>
      <c r="AE140" s="582"/>
      <c r="AF140" s="582"/>
      <c r="AG140" s="582"/>
      <c r="AH140" s="582"/>
      <c r="AI140" s="582"/>
      <c r="AJ140" s="582"/>
      <c r="AK140" s="582"/>
      <c r="AL140" s="582"/>
      <c r="AM140" s="582"/>
      <c r="AN140" s="582"/>
      <c r="AO140" s="582"/>
      <c r="AP140" s="905"/>
      <c r="AQ140" s="882" t="s">
        <v>417</v>
      </c>
      <c r="AR140" s="898" t="e">
        <f>AR136*AR137</f>
        <v>#VALUE!</v>
      </c>
      <c r="AS140" s="898" t="e">
        <f>AS136*AS137</f>
        <v>#VALUE!</v>
      </c>
      <c r="AT140" s="898" t="e">
        <f>AT136*AT137</f>
        <v>#VALUE!</v>
      </c>
      <c r="AU140" s="882" t="s">
        <v>415</v>
      </c>
      <c r="AV140" s="882"/>
      <c r="AW140" s="882"/>
      <c r="AX140" s="882"/>
      <c r="AY140" s="582"/>
      <c r="AZ140" s="582"/>
      <c r="BA140" s="582"/>
      <c r="BB140" s="582"/>
      <c r="BC140" s="582"/>
    </row>
    <row r="141" spans="18:55" x14ac:dyDescent="0.2">
      <c r="R141" s="582"/>
      <c r="S141" s="582"/>
      <c r="T141" s="581"/>
      <c r="U141" s="582"/>
      <c r="V141" s="582"/>
      <c r="W141" s="582"/>
      <c r="X141" s="582"/>
      <c r="Y141" s="582"/>
      <c r="Z141" s="582"/>
      <c r="AA141" s="582"/>
      <c r="AB141" s="582"/>
      <c r="AC141" s="582"/>
      <c r="AD141" s="582"/>
      <c r="AE141" s="582"/>
      <c r="AF141" s="582"/>
      <c r="AG141" s="582"/>
      <c r="AH141" s="582"/>
      <c r="AI141" s="582"/>
      <c r="AJ141" s="582"/>
      <c r="AK141" s="582"/>
      <c r="AL141" s="582"/>
      <c r="AM141" s="582"/>
      <c r="AN141" s="582"/>
      <c r="AO141" s="582"/>
      <c r="AP141" s="905"/>
      <c r="AQ141" s="882"/>
      <c r="AR141" s="884" t="e">
        <f>AR140/1000</f>
        <v>#VALUE!</v>
      </c>
      <c r="AS141" s="884" t="e">
        <f>AS140/1000</f>
        <v>#VALUE!</v>
      </c>
      <c r="AT141" s="884" t="e">
        <f>AT140/1000</f>
        <v>#VALUE!</v>
      </c>
      <c r="AU141" s="882" t="s">
        <v>416</v>
      </c>
      <c r="AV141" s="882"/>
      <c r="AW141" s="882"/>
      <c r="AX141" s="882"/>
      <c r="AY141" s="582"/>
      <c r="AZ141" s="582"/>
      <c r="BA141" s="582"/>
      <c r="BB141" s="582"/>
      <c r="BC141" s="582"/>
    </row>
    <row r="142" spans="18:55" x14ac:dyDescent="0.2">
      <c r="R142" s="582"/>
      <c r="S142" s="582"/>
      <c r="T142" s="581"/>
      <c r="U142" s="582"/>
      <c r="V142" s="582"/>
      <c r="W142" s="582"/>
      <c r="X142" s="582"/>
      <c r="Y142" s="582"/>
      <c r="Z142" s="582"/>
      <c r="AA142" s="582"/>
      <c r="AB142" s="582"/>
      <c r="AC142" s="582"/>
      <c r="AD142" s="582"/>
      <c r="AE142" s="582"/>
      <c r="AF142" s="582"/>
      <c r="AG142" s="582"/>
      <c r="AH142" s="582"/>
      <c r="AI142" s="582"/>
      <c r="AJ142" s="582"/>
      <c r="AK142" s="582"/>
      <c r="AL142" s="582"/>
      <c r="AM142" s="582"/>
      <c r="AN142" s="582"/>
      <c r="AO142" s="582"/>
      <c r="AP142" s="905"/>
      <c r="AQ142" s="882"/>
      <c r="AR142" s="882"/>
      <c r="AS142" s="882"/>
      <c r="AT142" s="882"/>
      <c r="AU142" s="882"/>
      <c r="AV142" s="882"/>
      <c r="AW142" s="882"/>
      <c r="AX142" s="882"/>
      <c r="AY142" s="582"/>
      <c r="AZ142" s="582"/>
      <c r="BA142" s="582"/>
      <c r="BB142" s="582"/>
      <c r="BC142" s="582"/>
    </row>
    <row r="143" spans="18:55" x14ac:dyDescent="0.2">
      <c r="R143" s="582"/>
      <c r="S143" s="582"/>
      <c r="T143" s="581"/>
      <c r="U143" s="582"/>
      <c r="V143" s="582"/>
      <c r="W143" s="582"/>
      <c r="X143" s="582"/>
      <c r="Y143" s="582"/>
      <c r="Z143" s="582"/>
      <c r="AA143" s="582"/>
      <c r="AB143" s="582"/>
      <c r="AC143" s="582"/>
      <c r="AD143" s="582"/>
      <c r="AE143" s="582"/>
      <c r="AF143" s="582"/>
      <c r="AG143" s="582"/>
      <c r="AH143" s="582"/>
      <c r="AI143" s="582"/>
      <c r="AJ143" s="582"/>
      <c r="AK143" s="582"/>
      <c r="AL143" s="582"/>
      <c r="AM143" s="582"/>
      <c r="AN143" s="582"/>
      <c r="AO143" s="582"/>
      <c r="AP143" s="905"/>
      <c r="AQ143" s="882" t="s">
        <v>423</v>
      </c>
      <c r="AR143" s="882" t="str">
        <f>IF(T18=1,"",IF(T18=2,AR21,IF(T18=3,AR22,IF(T18=4,AR23,IF(T18=5,AR24,IF(T18=6,AR25,IF(T18=7,AR26,IF(T18=8,AR27,IF(T18=9,AR28,IF(T18=10,AR29,IF(T18=11,AR30,IF(T18=12,AR31,IF(T18=13,AR32,"")))))))))))))</f>
        <v/>
      </c>
      <c r="AS143" s="882" t="str">
        <f>IF(X18=1,"",IF(X18=2,AR21,IF(X18=3,AR22,IF(X18=4,AR23,IF(X18=5,AR24,IF(X18=6,AR25,IF(X18=7,AR26,IF(X18=8,AR27,IF(X18=9,AR28,IF(X18=10,AR29,IF(X18=11,AR30,IF(X18=12,AR31,IF(X18=13,AR32,"")))))))))))))</f>
        <v/>
      </c>
      <c r="AT143" s="882" t="str">
        <f>IF(AB18=1,"",IF(AB18=2,AR21,IF(AB18=3,AR22,IF(AB18=4,AR23,IF(AB18=5,AR24,IF(AB18=6,AR25,IF(AB18=7,AR26,IF(AB18=8,AR27,IF(AB18=9,AR28,IF(AB18=10,AR29,IF(AB18=11,AR30,IF(AB18=12,AR31,IF(AB18=13,AB32,"")))))))))))))</f>
        <v/>
      </c>
      <c r="AU143" s="882" t="s">
        <v>421</v>
      </c>
      <c r="AV143" s="882"/>
      <c r="AW143" s="882"/>
      <c r="AX143" s="882"/>
      <c r="AY143" s="582"/>
      <c r="AZ143" s="582"/>
      <c r="BA143" s="582"/>
      <c r="BB143" s="582"/>
      <c r="BC143" s="582"/>
    </row>
    <row r="144" spans="18:55" x14ac:dyDescent="0.2">
      <c r="R144" s="582"/>
      <c r="S144" s="582"/>
      <c r="T144" s="582"/>
      <c r="U144" s="582"/>
      <c r="V144" s="582"/>
      <c r="W144" s="582"/>
      <c r="X144" s="582"/>
      <c r="Y144" s="582"/>
      <c r="Z144" s="582"/>
      <c r="AA144" s="582"/>
      <c r="AB144" s="582"/>
      <c r="AC144" s="582"/>
      <c r="AD144" s="582"/>
      <c r="AE144" s="582"/>
      <c r="AF144" s="582"/>
      <c r="AG144" s="582"/>
      <c r="AH144" s="582"/>
      <c r="AI144" s="582"/>
      <c r="AJ144" s="582"/>
      <c r="AK144" s="582"/>
      <c r="AL144" s="582"/>
      <c r="AM144" s="582"/>
      <c r="AN144" s="582"/>
      <c r="AO144" s="582"/>
      <c r="AP144" s="905"/>
      <c r="AQ144" s="882" t="s">
        <v>420</v>
      </c>
      <c r="AR144" s="885" t="e">
        <f>AR134*AR143</f>
        <v>#VALUE!</v>
      </c>
      <c r="AS144" s="885" t="e">
        <f>AS134*AS143</f>
        <v>#VALUE!</v>
      </c>
      <c r="AT144" s="885" t="e">
        <f>AT134*AT143</f>
        <v>#VALUE!</v>
      </c>
      <c r="AU144" s="882"/>
      <c r="AV144" s="882"/>
      <c r="AW144" s="882"/>
      <c r="AX144" s="882"/>
      <c r="AY144" s="582"/>
      <c r="AZ144" s="582"/>
      <c r="BA144" s="582"/>
      <c r="BB144" s="582"/>
      <c r="BC144" s="582"/>
    </row>
    <row r="145" spans="18:55" x14ac:dyDescent="0.2">
      <c r="R145" s="582"/>
      <c r="S145" s="582"/>
      <c r="T145" s="582"/>
      <c r="U145" s="582"/>
      <c r="V145" s="582"/>
      <c r="W145" s="582"/>
      <c r="X145" s="582"/>
      <c r="Y145" s="582"/>
      <c r="Z145" s="582"/>
      <c r="AA145" s="582"/>
      <c r="AB145" s="582"/>
      <c r="AC145" s="582"/>
      <c r="AD145" s="582"/>
      <c r="AE145" s="582"/>
      <c r="AF145" s="582"/>
      <c r="AG145" s="582"/>
      <c r="AH145" s="582"/>
      <c r="AI145" s="582"/>
      <c r="AJ145" s="582"/>
      <c r="AK145" s="582"/>
      <c r="AL145" s="582"/>
      <c r="AM145" s="582"/>
      <c r="AN145" s="582"/>
      <c r="AO145" s="582"/>
      <c r="AP145" s="905"/>
      <c r="AQ145" s="882"/>
      <c r="AR145" s="882"/>
      <c r="AS145" s="882"/>
      <c r="AT145" s="882"/>
      <c r="AU145" s="882"/>
      <c r="AV145" s="882"/>
      <c r="AW145" s="882"/>
      <c r="AX145" s="882"/>
      <c r="AY145" s="582"/>
      <c r="AZ145" s="582"/>
      <c r="BA145" s="582"/>
      <c r="BB145" s="582"/>
      <c r="BC145" s="582"/>
    </row>
    <row r="146" spans="18:55" x14ac:dyDescent="0.2">
      <c r="R146" s="582"/>
      <c r="S146" s="582"/>
      <c r="T146" s="582"/>
      <c r="U146" s="582"/>
      <c r="V146" s="582"/>
      <c r="W146" s="582"/>
      <c r="X146" s="582"/>
      <c r="Y146" s="582"/>
      <c r="Z146" s="582"/>
      <c r="AA146" s="582"/>
      <c r="AB146" s="582"/>
      <c r="AC146" s="582"/>
      <c r="AD146" s="582"/>
      <c r="AE146" s="582"/>
      <c r="AF146" s="582"/>
      <c r="AG146" s="582"/>
      <c r="AH146" s="582"/>
      <c r="AI146" s="582"/>
      <c r="AJ146" s="582"/>
      <c r="AK146" s="582"/>
      <c r="AL146" s="582"/>
      <c r="AM146" s="582"/>
      <c r="AN146" s="582"/>
      <c r="AO146" s="582"/>
      <c r="AP146" s="905"/>
      <c r="AQ146" s="882"/>
      <c r="AR146" s="882"/>
      <c r="AS146" s="882"/>
      <c r="AT146" s="882"/>
      <c r="AU146" s="882"/>
      <c r="AV146" s="882"/>
      <c r="AW146" s="882"/>
      <c r="AX146" s="882"/>
      <c r="AY146" s="582"/>
      <c r="AZ146" s="582"/>
      <c r="BA146" s="582"/>
      <c r="BB146" s="582"/>
      <c r="BC146" s="582"/>
    </row>
    <row r="147" spans="18:55" x14ac:dyDescent="0.2">
      <c r="R147" s="582"/>
      <c r="S147" s="582"/>
      <c r="T147" s="582"/>
      <c r="U147" s="582"/>
      <c r="V147" s="582"/>
      <c r="W147" s="582"/>
      <c r="X147" s="582"/>
      <c r="Y147" s="582"/>
      <c r="Z147" s="582"/>
      <c r="AA147" s="582"/>
      <c r="AB147" s="582"/>
      <c r="AC147" s="582"/>
      <c r="AD147" s="582"/>
      <c r="AE147" s="582"/>
      <c r="AF147" s="582"/>
      <c r="AG147" s="582"/>
      <c r="AH147" s="582"/>
      <c r="AI147" s="582"/>
      <c r="AJ147" s="582"/>
      <c r="AK147" s="582"/>
      <c r="AL147" s="582"/>
      <c r="AM147" s="582"/>
      <c r="AN147" s="582"/>
      <c r="AO147" s="582"/>
      <c r="AP147" s="905"/>
      <c r="AQ147" s="882"/>
      <c r="AR147" s="882"/>
      <c r="AS147" s="882"/>
      <c r="AT147" s="882"/>
      <c r="AU147" s="882"/>
      <c r="AV147" s="882"/>
      <c r="AW147" s="882"/>
      <c r="AX147" s="882"/>
      <c r="AY147" s="582"/>
      <c r="AZ147" s="582"/>
      <c r="BA147" s="582"/>
      <c r="BB147" s="582"/>
      <c r="BC147" s="582"/>
    </row>
    <row r="148" spans="18:55" x14ac:dyDescent="0.2">
      <c r="R148" s="582"/>
      <c r="S148" s="582"/>
      <c r="T148" s="582"/>
      <c r="U148" s="582"/>
      <c r="V148" s="582"/>
      <c r="W148" s="582"/>
      <c r="X148" s="582"/>
      <c r="Y148" s="582"/>
      <c r="Z148" s="582"/>
      <c r="AA148" s="582"/>
      <c r="AB148" s="582"/>
      <c r="AC148" s="582"/>
      <c r="AD148" s="582"/>
      <c r="AE148" s="582"/>
      <c r="AF148" s="582"/>
      <c r="AG148" s="582"/>
      <c r="AH148" s="582"/>
      <c r="AI148" s="582"/>
      <c r="AJ148" s="582"/>
      <c r="AK148" s="582"/>
      <c r="AL148" s="582"/>
      <c r="AM148" s="582"/>
      <c r="AN148" s="582"/>
      <c r="AO148" s="582"/>
      <c r="AP148" s="905"/>
      <c r="AQ148" s="882"/>
      <c r="AR148" s="882"/>
      <c r="AS148" s="882"/>
      <c r="AT148" s="882"/>
      <c r="AU148" s="882"/>
      <c r="AV148" s="882"/>
      <c r="AW148" s="882"/>
      <c r="AX148" s="882"/>
      <c r="AY148" s="582"/>
      <c r="AZ148" s="582"/>
      <c r="BA148" s="582"/>
      <c r="BB148" s="582"/>
      <c r="BC148" s="582"/>
    </row>
    <row r="149" spans="18:55" x14ac:dyDescent="0.2">
      <c r="R149" s="582"/>
      <c r="S149" s="582"/>
      <c r="T149" s="582"/>
      <c r="U149" s="582"/>
      <c r="V149" s="582"/>
      <c r="W149" s="582"/>
      <c r="X149" s="582"/>
      <c r="Y149" s="582"/>
      <c r="Z149" s="582"/>
      <c r="AA149" s="582"/>
      <c r="AB149" s="582"/>
      <c r="AC149" s="582"/>
      <c r="AD149" s="582"/>
      <c r="AE149" s="582"/>
      <c r="AF149" s="582"/>
      <c r="AG149" s="582"/>
      <c r="AH149" s="582"/>
      <c r="AI149" s="582"/>
      <c r="AJ149" s="582"/>
      <c r="AK149" s="582"/>
      <c r="AL149" s="582"/>
      <c r="AM149" s="582"/>
      <c r="AN149" s="582"/>
      <c r="AO149" s="582"/>
      <c r="AP149" s="905"/>
      <c r="AQ149" s="882"/>
      <c r="AR149" s="882"/>
      <c r="AS149" s="882"/>
      <c r="AT149" s="882"/>
      <c r="AU149" s="882"/>
      <c r="AV149" s="882"/>
      <c r="AW149" s="882"/>
      <c r="AX149" s="882"/>
      <c r="AY149" s="582"/>
      <c r="AZ149" s="582"/>
      <c r="BA149" s="582"/>
      <c r="BB149" s="582"/>
      <c r="BC149" s="582"/>
    </row>
    <row r="150" spans="18:55" x14ac:dyDescent="0.2">
      <c r="R150" s="582"/>
      <c r="S150" s="582"/>
      <c r="T150" s="582"/>
      <c r="U150" s="582"/>
      <c r="V150" s="582"/>
      <c r="W150" s="582"/>
      <c r="X150" s="582"/>
      <c r="Y150" s="582"/>
      <c r="Z150" s="582"/>
      <c r="AA150" s="582"/>
      <c r="AB150" s="582"/>
      <c r="AC150" s="582"/>
      <c r="AD150" s="582"/>
      <c r="AE150" s="582"/>
      <c r="AF150" s="582"/>
      <c r="AG150" s="582"/>
      <c r="AH150" s="582"/>
      <c r="AI150" s="582"/>
      <c r="AJ150" s="582"/>
      <c r="AK150" s="582"/>
      <c r="AL150" s="582"/>
      <c r="AM150" s="582"/>
      <c r="AN150" s="582"/>
      <c r="AO150" s="582"/>
      <c r="AP150" s="905"/>
      <c r="AQ150" s="882"/>
      <c r="AR150" s="882" t="str">
        <f>IF(T18=2,AS21,IF(T18=3,AS22,IF(T18=4,AS23,IF(T18=5,AS24,IF(T18=6,AS25,IF(T18=7,AS26,IF(T18=8,AS27,IF(T18=9,AS28,IF(T18=10,AS29,IF(T18=11,AS30,IF(T18=12,AS31,IF(T18=13,AS32,""))))))))))))</f>
        <v/>
      </c>
      <c r="AS150" s="882" t="str">
        <f>IF(X18=2,AS21,IF(X18=3,AS22,IF(X18=4,AS23,IF(X18=5,AS24,IF(X18=6,AS25,IF(X18=7,AS26,IF(X18=8,AS27,IF(X18=9,AS28,IF(X18=10,AS29,IF(X18=11,AS30,IF(X18=12,AS31,IF(X18=13,AS32,""))))))))))))</f>
        <v/>
      </c>
      <c r="AT150" s="882" t="str">
        <f>IF(AB18=2,AS21,IF(AB18=3,AS22,IF(AB18=4,AS23,IF(AB18=5,AS24,IF(AB18=6,AS25,IF(AB18=7,AS26,IF(AB18=8,AS27,IF(AB18=9,AS28,IF(AB18=10,AS29,IF(AB18=11,AS30,IF(AB18=12,AS31,IF(AB18=13,AS32,""))))))))))))</f>
        <v/>
      </c>
      <c r="AU150" s="882"/>
      <c r="AV150" s="882"/>
      <c r="AW150" s="882"/>
      <c r="AX150" s="882"/>
      <c r="AY150" s="582"/>
      <c r="AZ150" s="582"/>
      <c r="BA150" s="582"/>
      <c r="BB150" s="582"/>
      <c r="BC150" s="582"/>
    </row>
    <row r="151" spans="18:55" x14ac:dyDescent="0.2">
      <c r="R151" s="582"/>
      <c r="S151" s="582"/>
      <c r="T151" s="582"/>
      <c r="U151" s="582"/>
      <c r="V151" s="582"/>
      <c r="W151" s="582"/>
      <c r="X151" s="582"/>
      <c r="Y151" s="582"/>
      <c r="Z151" s="582"/>
      <c r="AA151" s="582"/>
      <c r="AB151" s="582"/>
      <c r="AC151" s="582"/>
      <c r="AD151" s="582"/>
      <c r="AE151" s="582"/>
      <c r="AF151" s="582"/>
      <c r="AG151" s="582"/>
      <c r="AH151" s="582"/>
      <c r="AI151" s="582"/>
      <c r="AJ151" s="582"/>
      <c r="AK151" s="582"/>
      <c r="AL151" s="582"/>
      <c r="AM151" s="582"/>
      <c r="AN151" s="582"/>
      <c r="AO151" s="582"/>
      <c r="AP151" s="905"/>
      <c r="AQ151" s="882" t="s">
        <v>424</v>
      </c>
      <c r="AR151" s="882">
        <v>0.12839999999999999</v>
      </c>
      <c r="AS151" s="882">
        <v>0.12839999999999999</v>
      </c>
      <c r="AT151" s="882">
        <v>0.12839999999999999</v>
      </c>
      <c r="AU151" s="882" t="s">
        <v>427</v>
      </c>
      <c r="AV151" s="882"/>
      <c r="AW151" s="882"/>
      <c r="AX151" s="882"/>
      <c r="AY151" s="582"/>
      <c r="AZ151" s="582"/>
      <c r="BA151" s="582"/>
      <c r="BB151" s="582"/>
      <c r="BC151" s="582"/>
    </row>
    <row r="152" spans="18:55" x14ac:dyDescent="0.2">
      <c r="R152" s="582"/>
      <c r="S152" s="582"/>
      <c r="T152" s="582"/>
      <c r="U152" s="582"/>
      <c r="V152" s="582"/>
      <c r="W152" s="582"/>
      <c r="X152" s="582"/>
      <c r="Y152" s="582"/>
      <c r="Z152" s="582"/>
      <c r="AA152" s="582"/>
      <c r="AB152" s="582"/>
      <c r="AC152" s="582"/>
      <c r="AD152" s="582"/>
      <c r="AE152" s="582"/>
      <c r="AF152" s="582"/>
      <c r="AG152" s="582"/>
      <c r="AH152" s="582"/>
      <c r="AI152" s="582"/>
      <c r="AJ152" s="582"/>
      <c r="AK152" s="582"/>
      <c r="AL152" s="582"/>
      <c r="AM152" s="582"/>
      <c r="AN152" s="582"/>
      <c r="AO152" s="582"/>
      <c r="AP152" s="905"/>
      <c r="AQ152" s="882" t="s">
        <v>425</v>
      </c>
      <c r="AR152" s="886" t="e">
        <f>AR138/1000</f>
        <v>#VALUE!</v>
      </c>
      <c r="AS152" s="884" t="e">
        <f>AS138/1000</f>
        <v>#VALUE!</v>
      </c>
      <c r="AT152" s="884" t="e">
        <f>AT138/1000</f>
        <v>#VALUE!</v>
      </c>
      <c r="AU152" s="882" t="s">
        <v>416</v>
      </c>
      <c r="AV152" s="882"/>
      <c r="AW152" s="882"/>
      <c r="AX152" s="882"/>
      <c r="AY152" s="582"/>
      <c r="AZ152" s="582"/>
      <c r="BA152" s="582"/>
      <c r="BB152" s="582"/>
      <c r="BC152" s="582"/>
    </row>
    <row r="153" spans="18:55" x14ac:dyDescent="0.2">
      <c r="R153" s="582"/>
      <c r="S153" s="582"/>
      <c r="T153" s="582"/>
      <c r="U153" s="582"/>
      <c r="V153" s="582"/>
      <c r="W153" s="582"/>
      <c r="X153" s="582"/>
      <c r="Y153" s="582"/>
      <c r="Z153" s="582"/>
      <c r="AA153" s="582"/>
      <c r="AB153" s="582"/>
      <c r="AC153" s="582"/>
      <c r="AD153" s="582"/>
      <c r="AE153" s="582"/>
      <c r="AF153" s="582"/>
      <c r="AG153" s="582"/>
      <c r="AH153" s="582"/>
      <c r="AI153" s="582"/>
      <c r="AJ153" s="582"/>
      <c r="AK153" s="582"/>
      <c r="AL153" s="582"/>
      <c r="AM153" s="582"/>
      <c r="AN153" s="582"/>
      <c r="AO153" s="582"/>
      <c r="AP153" s="905"/>
      <c r="AQ153" s="882" t="s">
        <v>426</v>
      </c>
      <c r="AR153" s="887" t="e">
        <f>AR152/AR151</f>
        <v>#VALUE!</v>
      </c>
      <c r="AS153" s="887" t="e">
        <f>AS152/AS151</f>
        <v>#VALUE!</v>
      </c>
      <c r="AT153" s="887" t="e">
        <f>AT152/AT151</f>
        <v>#VALUE!</v>
      </c>
      <c r="AU153" s="882" t="s">
        <v>428</v>
      </c>
      <c r="AV153" s="882"/>
      <c r="AW153" s="882"/>
      <c r="AX153" s="882"/>
      <c r="AY153" s="582"/>
      <c r="AZ153" s="582"/>
      <c r="BA153" s="582"/>
      <c r="BB153" s="582"/>
      <c r="BC153" s="582"/>
    </row>
    <row r="154" spans="18:55" x14ac:dyDescent="0.2">
      <c r="R154" s="582"/>
      <c r="S154" s="582"/>
      <c r="T154" s="582"/>
      <c r="U154" s="582"/>
      <c r="V154" s="582"/>
      <c r="W154" s="582"/>
      <c r="X154" s="582"/>
      <c r="Y154" s="582"/>
      <c r="Z154" s="582"/>
      <c r="AA154" s="582"/>
      <c r="AB154" s="582"/>
      <c r="AC154" s="582"/>
      <c r="AD154" s="582"/>
      <c r="AE154" s="582"/>
      <c r="AF154" s="582"/>
      <c r="AG154" s="582"/>
      <c r="AH154" s="582"/>
      <c r="AI154" s="582"/>
      <c r="AJ154" s="582"/>
      <c r="AK154" s="582"/>
      <c r="AL154" s="582"/>
      <c r="AM154" s="582"/>
      <c r="AN154" s="582"/>
      <c r="AO154" s="582"/>
      <c r="AP154" s="905"/>
      <c r="AQ154" s="882"/>
      <c r="AR154" s="882"/>
      <c r="AS154" s="882"/>
      <c r="AT154" s="882"/>
      <c r="AU154" s="882"/>
      <c r="AV154" s="882"/>
      <c r="AW154" s="882"/>
      <c r="AX154" s="882"/>
      <c r="AY154" s="582"/>
      <c r="AZ154" s="582"/>
      <c r="BA154" s="582"/>
      <c r="BB154" s="582"/>
      <c r="BC154" s="582"/>
    </row>
    <row r="155" spans="18:55" x14ac:dyDescent="0.2">
      <c r="R155" s="582"/>
      <c r="S155" s="582"/>
      <c r="T155" s="582"/>
      <c r="U155" s="582"/>
      <c r="V155" s="582"/>
      <c r="W155" s="582"/>
      <c r="X155" s="582"/>
      <c r="Y155" s="582"/>
      <c r="Z155" s="582"/>
      <c r="AA155" s="582"/>
      <c r="AB155" s="582"/>
      <c r="AC155" s="582"/>
      <c r="AD155" s="582"/>
      <c r="AE155" s="582"/>
      <c r="AF155" s="582"/>
      <c r="AG155" s="582"/>
      <c r="AH155" s="582"/>
      <c r="AI155" s="582"/>
      <c r="AJ155" s="582"/>
      <c r="AK155" s="582"/>
      <c r="AL155" s="582"/>
      <c r="AM155" s="582"/>
      <c r="AN155" s="582"/>
      <c r="AO155" s="582"/>
      <c r="AP155" s="905"/>
      <c r="AQ155" s="882"/>
      <c r="AR155" s="882"/>
      <c r="AS155" s="882"/>
      <c r="AT155" s="882"/>
      <c r="AU155" s="882"/>
      <c r="AV155" s="882"/>
      <c r="AW155" s="882"/>
      <c r="AX155" s="882"/>
      <c r="AY155" s="582"/>
      <c r="AZ155" s="582"/>
      <c r="BA155" s="582"/>
      <c r="BB155" s="582"/>
      <c r="BC155" s="582"/>
    </row>
    <row r="156" spans="18:55" x14ac:dyDescent="0.2">
      <c r="R156" s="582"/>
      <c r="S156" s="582"/>
      <c r="T156" s="582"/>
      <c r="U156" s="582"/>
      <c r="V156" s="582"/>
      <c r="W156" s="582"/>
      <c r="X156" s="582"/>
      <c r="Y156" s="582"/>
      <c r="Z156" s="582"/>
      <c r="AA156" s="582"/>
      <c r="AB156" s="582"/>
      <c r="AC156" s="582"/>
      <c r="AD156" s="582"/>
      <c r="AE156" s="582"/>
      <c r="AF156" s="582"/>
      <c r="AG156" s="582"/>
      <c r="AH156" s="582"/>
      <c r="AI156" s="582"/>
      <c r="AJ156" s="582"/>
      <c r="AK156" s="582"/>
      <c r="AL156" s="582"/>
      <c r="AM156" s="582"/>
      <c r="AN156" s="582"/>
      <c r="AO156" s="582"/>
      <c r="AP156" s="905"/>
      <c r="AQ156" s="882"/>
      <c r="AR156" s="882"/>
      <c r="AS156" s="882"/>
      <c r="AT156" s="882"/>
      <c r="AU156" s="882"/>
      <c r="AV156" s="882"/>
      <c r="AW156" s="882"/>
      <c r="AX156" s="882"/>
      <c r="AY156" s="582"/>
      <c r="AZ156" s="582"/>
      <c r="BA156" s="582"/>
      <c r="BB156" s="582"/>
      <c r="BC156" s="582"/>
    </row>
    <row r="157" spans="18:55" x14ac:dyDescent="0.2">
      <c r="R157" s="582"/>
      <c r="S157" s="582"/>
      <c r="T157" s="582"/>
      <c r="U157" s="582"/>
      <c r="V157" s="582"/>
      <c r="W157" s="582"/>
      <c r="X157" s="582"/>
      <c r="Y157" s="582"/>
      <c r="Z157" s="582"/>
      <c r="AA157" s="582"/>
      <c r="AB157" s="582"/>
      <c r="AC157" s="582"/>
      <c r="AD157" s="582"/>
      <c r="AE157" s="582"/>
      <c r="AF157" s="582"/>
      <c r="AG157" s="582"/>
      <c r="AH157" s="582"/>
      <c r="AI157" s="582"/>
      <c r="AJ157" s="582"/>
      <c r="AK157" s="582"/>
      <c r="AL157" s="582"/>
      <c r="AM157" s="582"/>
      <c r="AN157" s="582"/>
      <c r="AO157" s="582"/>
      <c r="AP157" s="905"/>
      <c r="AQ157" s="882"/>
      <c r="AR157" s="882"/>
      <c r="AS157" s="882"/>
      <c r="AT157" s="882"/>
      <c r="AU157" s="882"/>
      <c r="AV157" s="882"/>
      <c r="AW157" s="882"/>
      <c r="AX157" s="882"/>
      <c r="AY157" s="582"/>
      <c r="AZ157" s="582"/>
      <c r="BA157" s="582"/>
      <c r="BB157" s="582"/>
      <c r="BC157" s="582"/>
    </row>
    <row r="158" spans="18:55" x14ac:dyDescent="0.2">
      <c r="R158" s="582"/>
      <c r="S158" s="582"/>
      <c r="T158" s="582"/>
      <c r="U158" s="582"/>
      <c r="V158" s="582"/>
      <c r="W158" s="582"/>
      <c r="X158" s="582"/>
      <c r="Y158" s="582"/>
      <c r="Z158" s="582"/>
      <c r="AA158" s="582"/>
      <c r="AB158" s="582"/>
      <c r="AC158" s="582"/>
      <c r="AD158" s="582"/>
      <c r="AE158" s="582"/>
      <c r="AF158" s="582"/>
      <c r="AG158" s="582"/>
      <c r="AH158" s="582"/>
      <c r="AI158" s="582"/>
      <c r="AJ158" s="582"/>
      <c r="AK158" s="582"/>
      <c r="AL158" s="582"/>
      <c r="AM158" s="582"/>
      <c r="AN158" s="582"/>
      <c r="AO158" s="582"/>
      <c r="AP158" s="905"/>
      <c r="AQ158" s="882"/>
      <c r="AR158" s="882"/>
      <c r="AS158" s="882"/>
      <c r="AT158" s="882"/>
      <c r="AU158" s="882"/>
      <c r="AV158" s="882"/>
      <c r="AW158" s="882"/>
      <c r="AX158" s="882"/>
      <c r="AY158" s="582"/>
      <c r="AZ158" s="582"/>
      <c r="BA158" s="582"/>
      <c r="BB158" s="582"/>
      <c r="BC158" s="582"/>
    </row>
    <row r="159" spans="18:55" x14ac:dyDescent="0.2">
      <c r="R159" s="582"/>
      <c r="S159" s="582"/>
      <c r="T159" s="582"/>
      <c r="U159" s="582"/>
      <c r="V159" s="582"/>
      <c r="W159" s="582"/>
      <c r="X159" s="582"/>
      <c r="Y159" s="582"/>
      <c r="Z159" s="582"/>
      <c r="AA159" s="582"/>
      <c r="AB159" s="582"/>
      <c r="AC159" s="582"/>
      <c r="AD159" s="582"/>
      <c r="AE159" s="582"/>
      <c r="AF159" s="582"/>
      <c r="AG159" s="582"/>
      <c r="AH159" s="582"/>
      <c r="AI159" s="582"/>
      <c r="AJ159" s="582"/>
      <c r="AK159" s="582"/>
      <c r="AL159" s="582"/>
      <c r="AM159" s="582"/>
      <c r="AN159" s="582"/>
      <c r="AO159" s="582"/>
      <c r="AP159" s="905"/>
      <c r="AQ159" s="882"/>
      <c r="AR159" s="882"/>
      <c r="AS159" s="882"/>
      <c r="AT159" s="882"/>
      <c r="AU159" s="882"/>
      <c r="AV159" s="882"/>
      <c r="AW159" s="882"/>
      <c r="AX159" s="882"/>
      <c r="AY159" s="582"/>
      <c r="AZ159" s="582"/>
      <c r="BA159" s="582"/>
      <c r="BB159" s="582"/>
      <c r="BC159" s="582"/>
    </row>
    <row r="160" spans="18:55" x14ac:dyDescent="0.2">
      <c r="R160" s="582"/>
      <c r="S160" s="582"/>
      <c r="T160" s="582"/>
      <c r="U160" s="582"/>
      <c r="V160" s="582"/>
      <c r="W160" s="582"/>
      <c r="X160" s="582"/>
      <c r="Y160" s="582"/>
      <c r="Z160" s="582"/>
      <c r="AA160" s="582"/>
      <c r="AB160" s="582"/>
      <c r="AC160" s="582"/>
      <c r="AD160" s="582"/>
      <c r="AE160" s="582"/>
      <c r="AF160" s="582"/>
      <c r="AG160" s="582"/>
      <c r="AH160" s="582"/>
      <c r="AI160" s="582"/>
      <c r="AJ160" s="582"/>
      <c r="AK160" s="582"/>
      <c r="AL160" s="582"/>
      <c r="AM160" s="582"/>
      <c r="AN160" s="582"/>
      <c r="AO160" s="582"/>
      <c r="AP160" s="905"/>
      <c r="AQ160" s="882"/>
      <c r="AR160" s="882"/>
      <c r="AS160" s="882"/>
      <c r="AT160" s="882"/>
      <c r="AU160" s="882"/>
      <c r="AV160" s="882"/>
      <c r="AW160" s="882"/>
      <c r="AX160" s="882"/>
      <c r="AY160" s="582"/>
      <c r="AZ160" s="582"/>
      <c r="BA160" s="582"/>
      <c r="BB160" s="582"/>
      <c r="BC160" s="582"/>
    </row>
    <row r="161" spans="18:55" x14ac:dyDescent="0.2">
      <c r="R161" s="582"/>
      <c r="S161" s="582"/>
      <c r="T161" s="582"/>
      <c r="U161" s="582"/>
      <c r="V161" s="582"/>
      <c r="W161" s="582"/>
      <c r="X161" s="582"/>
      <c r="Y161" s="582"/>
      <c r="Z161" s="582"/>
      <c r="AA161" s="582"/>
      <c r="AB161" s="582"/>
      <c r="AC161" s="582"/>
      <c r="AD161" s="582"/>
      <c r="AE161" s="582"/>
      <c r="AF161" s="582"/>
      <c r="AG161" s="582"/>
      <c r="AH161" s="582"/>
      <c r="AI161" s="582"/>
      <c r="AJ161" s="582"/>
      <c r="AK161" s="582"/>
      <c r="AL161" s="582"/>
      <c r="AM161" s="582"/>
      <c r="AN161" s="582"/>
      <c r="AO161" s="582"/>
      <c r="AP161" s="905"/>
      <c r="AQ161" s="882"/>
      <c r="AR161" s="882"/>
      <c r="AS161" s="882"/>
      <c r="AT161" s="882"/>
      <c r="AU161" s="882"/>
      <c r="AV161" s="882"/>
      <c r="AW161" s="882"/>
      <c r="AX161" s="882"/>
      <c r="AY161" s="582"/>
      <c r="AZ161" s="582"/>
      <c r="BA161" s="582"/>
      <c r="BB161" s="582"/>
      <c r="BC161" s="582"/>
    </row>
    <row r="162" spans="18:55" x14ac:dyDescent="0.2">
      <c r="R162" s="582"/>
      <c r="S162" s="582"/>
      <c r="T162" s="582"/>
      <c r="U162" s="582"/>
      <c r="V162" s="582"/>
      <c r="W162" s="582"/>
      <c r="X162" s="582"/>
      <c r="Y162" s="582"/>
      <c r="Z162" s="582"/>
      <c r="AA162" s="582"/>
      <c r="AB162" s="582"/>
      <c r="AC162" s="582"/>
      <c r="AD162" s="582"/>
      <c r="AE162" s="582"/>
      <c r="AF162" s="582"/>
      <c r="AG162" s="582"/>
      <c r="AH162" s="582"/>
      <c r="AI162" s="582"/>
      <c r="AJ162" s="582"/>
      <c r="AK162" s="582"/>
      <c r="AL162" s="582"/>
      <c r="AM162" s="582"/>
      <c r="AN162" s="582"/>
      <c r="AO162" s="582"/>
      <c r="AP162" s="905"/>
      <c r="AQ162" s="882"/>
      <c r="AR162" s="882"/>
      <c r="AS162" s="882"/>
      <c r="AT162" s="882"/>
      <c r="AU162" s="882"/>
      <c r="AV162" s="882"/>
      <c r="AW162" s="882"/>
      <c r="AX162" s="882"/>
      <c r="AY162" s="582"/>
      <c r="AZ162" s="582"/>
      <c r="BA162" s="582"/>
      <c r="BB162" s="582"/>
      <c r="BC162" s="582"/>
    </row>
    <row r="163" spans="18:55" x14ac:dyDescent="0.2">
      <c r="R163" s="582"/>
      <c r="S163" s="582"/>
      <c r="T163" s="582"/>
      <c r="U163" s="582"/>
      <c r="V163" s="582"/>
      <c r="W163" s="582"/>
      <c r="X163" s="582"/>
      <c r="Y163" s="582"/>
      <c r="Z163" s="582"/>
      <c r="AA163" s="582"/>
      <c r="AB163" s="582"/>
      <c r="AC163" s="582"/>
      <c r="AD163" s="582"/>
      <c r="AE163" s="582"/>
      <c r="AF163" s="582"/>
      <c r="AG163" s="582"/>
      <c r="AH163" s="582"/>
      <c r="AI163" s="582"/>
      <c r="AJ163" s="582"/>
      <c r="AK163" s="582"/>
      <c r="AL163" s="582"/>
      <c r="AM163" s="582"/>
      <c r="AN163" s="582"/>
      <c r="AO163" s="582"/>
      <c r="AP163" s="905"/>
      <c r="AQ163" s="882"/>
      <c r="AR163" s="882"/>
      <c r="AS163" s="882"/>
      <c r="AT163" s="882"/>
      <c r="AU163" s="882"/>
      <c r="AV163" s="882"/>
      <c r="AW163" s="882"/>
      <c r="AX163" s="882"/>
      <c r="AY163" s="582"/>
      <c r="AZ163" s="582"/>
      <c r="BA163" s="582"/>
      <c r="BB163" s="582"/>
      <c r="BC163" s="582"/>
    </row>
    <row r="164" spans="18:55" x14ac:dyDescent="0.2">
      <c r="R164" s="582"/>
      <c r="S164" s="582"/>
      <c r="T164" s="582"/>
      <c r="U164" s="582"/>
      <c r="V164" s="582"/>
      <c r="W164" s="582"/>
      <c r="X164" s="582"/>
      <c r="Y164" s="582"/>
      <c r="Z164" s="582"/>
      <c r="AA164" s="582"/>
      <c r="AB164" s="582"/>
      <c r="AC164" s="582"/>
      <c r="AD164" s="582"/>
      <c r="AE164" s="582"/>
      <c r="AF164" s="582"/>
      <c r="AG164" s="582"/>
      <c r="AH164" s="582"/>
      <c r="AI164" s="582"/>
      <c r="AJ164" s="582"/>
      <c r="AK164" s="582"/>
      <c r="AL164" s="582"/>
      <c r="AM164" s="582"/>
      <c r="AN164" s="582"/>
      <c r="AO164" s="582"/>
      <c r="AP164" s="582"/>
      <c r="AQ164" s="882"/>
      <c r="AR164" s="882"/>
      <c r="AS164" s="882"/>
      <c r="AT164" s="882"/>
      <c r="AU164" s="882"/>
      <c r="AV164" s="882"/>
      <c r="AW164" s="882"/>
      <c r="AX164" s="882"/>
      <c r="AY164" s="582"/>
      <c r="AZ164" s="582"/>
      <c r="BA164" s="582"/>
      <c r="BB164" s="582"/>
      <c r="BC164" s="582"/>
    </row>
    <row r="165" spans="18:55" x14ac:dyDescent="0.2">
      <c r="R165" s="582"/>
      <c r="S165" s="582"/>
      <c r="T165" s="582"/>
      <c r="U165" s="582"/>
      <c r="V165" s="582"/>
      <c r="W165" s="582"/>
      <c r="X165" s="582"/>
      <c r="Y165" s="582"/>
      <c r="Z165" s="582"/>
      <c r="AA165" s="582"/>
      <c r="AB165" s="582"/>
      <c r="AC165" s="582"/>
      <c r="AD165" s="582"/>
      <c r="AE165" s="582"/>
      <c r="AF165" s="582"/>
      <c r="AG165" s="582"/>
      <c r="AH165" s="582"/>
      <c r="AI165" s="582"/>
      <c r="AJ165" s="582"/>
      <c r="AK165" s="582"/>
      <c r="AL165" s="582"/>
      <c r="AM165" s="582"/>
      <c r="AN165" s="582"/>
      <c r="AO165" s="582"/>
      <c r="AP165" s="582"/>
      <c r="AQ165" s="882"/>
      <c r="AR165" s="882"/>
      <c r="AS165" s="882"/>
      <c r="AT165" s="882"/>
      <c r="AU165" s="882"/>
      <c r="AV165" s="882"/>
      <c r="AW165" s="882"/>
      <c r="AX165" s="882"/>
      <c r="AY165" s="582"/>
      <c r="AZ165" s="582"/>
      <c r="BA165" s="582"/>
      <c r="BB165" s="582"/>
      <c r="BC165" s="582"/>
    </row>
    <row r="166" spans="18:55" x14ac:dyDescent="0.2">
      <c r="R166" s="582"/>
      <c r="S166" s="582"/>
      <c r="T166" s="582"/>
      <c r="U166" s="582"/>
      <c r="V166" s="582"/>
      <c r="W166" s="582"/>
      <c r="X166" s="582"/>
      <c r="Y166" s="582"/>
      <c r="Z166" s="582"/>
      <c r="AA166" s="582"/>
      <c r="AB166" s="582"/>
      <c r="AC166" s="582"/>
      <c r="AD166" s="582"/>
      <c r="AE166" s="582"/>
      <c r="AF166" s="582"/>
      <c r="AG166" s="582"/>
      <c r="AH166" s="582"/>
      <c r="AI166" s="582"/>
      <c r="AJ166" s="582"/>
      <c r="AK166" s="582"/>
      <c r="AL166" s="582"/>
      <c r="AM166" s="582"/>
      <c r="AN166" s="582"/>
      <c r="AO166" s="582"/>
      <c r="AP166" s="582"/>
      <c r="AQ166" s="882"/>
      <c r="AR166" s="882"/>
      <c r="AS166" s="882"/>
      <c r="AT166" s="882"/>
      <c r="AU166" s="882"/>
      <c r="AV166" s="882"/>
      <c r="AW166" s="882"/>
      <c r="AX166" s="882"/>
      <c r="AY166" s="582"/>
      <c r="AZ166" s="582"/>
      <c r="BA166" s="582"/>
      <c r="BB166" s="582"/>
      <c r="BC166" s="582"/>
    </row>
    <row r="167" spans="18:55" x14ac:dyDescent="0.2">
      <c r="R167" s="582"/>
      <c r="S167" s="582"/>
      <c r="T167" s="582"/>
      <c r="U167" s="582"/>
      <c r="V167" s="582"/>
      <c r="W167" s="582"/>
      <c r="X167" s="582"/>
      <c r="Y167" s="582"/>
      <c r="Z167" s="582"/>
      <c r="AA167" s="582"/>
      <c r="AB167" s="582"/>
      <c r="AC167" s="582"/>
      <c r="AD167" s="582"/>
      <c r="AE167" s="582"/>
      <c r="AF167" s="582"/>
      <c r="AG167" s="582"/>
      <c r="AH167" s="582"/>
      <c r="AI167" s="582"/>
      <c r="AJ167" s="582"/>
      <c r="AK167" s="582"/>
      <c r="AL167" s="582"/>
      <c r="AM167" s="582"/>
      <c r="AN167" s="582"/>
      <c r="AO167" s="582"/>
      <c r="AP167" s="582"/>
      <c r="AQ167" s="882"/>
      <c r="AR167" s="882"/>
      <c r="AS167" s="882"/>
      <c r="AT167" s="882"/>
      <c r="AU167" s="882"/>
      <c r="AV167" s="882"/>
      <c r="AW167" s="882"/>
      <c r="AX167" s="882"/>
      <c r="AY167" s="582"/>
      <c r="AZ167" s="582"/>
      <c r="BA167" s="582"/>
      <c r="BB167" s="582"/>
      <c r="BC167" s="582"/>
    </row>
    <row r="168" spans="18:55" x14ac:dyDescent="0.2">
      <c r="R168" s="582"/>
      <c r="S168" s="582"/>
      <c r="T168" s="582"/>
      <c r="U168" s="582"/>
      <c r="V168" s="582"/>
      <c r="W168" s="582"/>
      <c r="X168" s="582"/>
      <c r="Y168" s="582"/>
      <c r="Z168" s="582"/>
      <c r="AA168" s="582"/>
      <c r="AB168" s="582"/>
      <c r="AC168" s="582"/>
      <c r="AD168" s="582"/>
      <c r="AE168" s="582"/>
      <c r="AF168" s="582"/>
      <c r="AG168" s="582"/>
      <c r="AH168" s="582"/>
      <c r="AI168" s="582"/>
      <c r="AJ168" s="582"/>
      <c r="AK168" s="582"/>
      <c r="AL168" s="582"/>
      <c r="AM168" s="582"/>
      <c r="AN168" s="582"/>
      <c r="AO168" s="582"/>
      <c r="AP168" s="582"/>
      <c r="AQ168" s="882"/>
      <c r="AR168" s="882"/>
      <c r="AS168" s="882"/>
      <c r="AT168" s="882"/>
      <c r="AU168" s="882"/>
      <c r="AV168" s="882"/>
      <c r="AW168" s="882"/>
      <c r="AX168" s="882"/>
      <c r="AY168" s="582"/>
      <c r="AZ168" s="582"/>
      <c r="BA168" s="582"/>
      <c r="BB168" s="582"/>
      <c r="BC168" s="582"/>
    </row>
    <row r="169" spans="18:55" x14ac:dyDescent="0.2">
      <c r="R169" s="582"/>
      <c r="S169" s="582"/>
      <c r="T169" s="582"/>
      <c r="U169" s="582"/>
      <c r="V169" s="582"/>
      <c r="W169" s="582"/>
      <c r="X169" s="582"/>
      <c r="Y169" s="582"/>
      <c r="Z169" s="582"/>
      <c r="AA169" s="582"/>
      <c r="AB169" s="582"/>
      <c r="AC169" s="582"/>
      <c r="AD169" s="582"/>
      <c r="AE169" s="582"/>
      <c r="AF169" s="582"/>
      <c r="AG169" s="582"/>
      <c r="AH169" s="582"/>
      <c r="AI169" s="582"/>
      <c r="AJ169" s="582"/>
      <c r="AK169" s="582"/>
      <c r="AL169" s="582"/>
      <c r="AM169" s="582"/>
      <c r="AN169" s="582"/>
      <c r="AO169" s="582"/>
      <c r="AP169" s="582"/>
      <c r="AQ169" s="882"/>
      <c r="AR169" s="882"/>
      <c r="AS169" s="882"/>
      <c r="AT169" s="882"/>
      <c r="AU169" s="882"/>
      <c r="AV169" s="882"/>
      <c r="AW169" s="882"/>
      <c r="AX169" s="882"/>
      <c r="AY169" s="582"/>
      <c r="AZ169" s="582"/>
      <c r="BA169" s="582"/>
      <c r="BB169" s="582"/>
      <c r="BC169" s="582"/>
    </row>
    <row r="170" spans="18:55" x14ac:dyDescent="0.2">
      <c r="R170" s="582"/>
      <c r="S170" s="582"/>
      <c r="T170" s="582"/>
      <c r="U170" s="582"/>
      <c r="V170" s="582"/>
      <c r="W170" s="582"/>
      <c r="X170" s="582"/>
      <c r="Y170" s="582"/>
      <c r="Z170" s="582"/>
      <c r="AA170" s="582"/>
      <c r="AB170" s="582"/>
      <c r="AC170" s="582"/>
      <c r="AD170" s="582"/>
      <c r="AE170" s="582"/>
      <c r="AF170" s="582"/>
      <c r="AG170" s="582"/>
      <c r="AH170" s="582"/>
      <c r="AI170" s="582"/>
      <c r="AJ170" s="582"/>
      <c r="AK170" s="582"/>
      <c r="AL170" s="582"/>
      <c r="AM170" s="582"/>
      <c r="AN170" s="582"/>
      <c r="AO170" s="582"/>
      <c r="AP170" s="582"/>
      <c r="AQ170" s="882"/>
      <c r="AR170" s="882"/>
      <c r="AS170" s="882"/>
      <c r="AT170" s="882"/>
      <c r="AU170" s="882"/>
      <c r="AV170" s="882"/>
      <c r="AW170" s="882"/>
      <c r="AX170" s="882"/>
      <c r="AY170" s="582"/>
      <c r="AZ170" s="582"/>
      <c r="BA170" s="582"/>
      <c r="BB170" s="582"/>
    </row>
    <row r="171" spans="18:55" x14ac:dyDescent="0.2">
      <c r="R171" s="582"/>
      <c r="S171" s="582"/>
      <c r="T171" s="582"/>
      <c r="U171" s="582"/>
      <c r="V171" s="582"/>
      <c r="W171" s="582"/>
      <c r="X171" s="582"/>
      <c r="Y171" s="582"/>
      <c r="Z171" s="582"/>
      <c r="AA171" s="582"/>
      <c r="AB171" s="582"/>
      <c r="AC171" s="582"/>
      <c r="AD171" s="582"/>
      <c r="AE171" s="582"/>
      <c r="AF171" s="582"/>
      <c r="AG171" s="582"/>
      <c r="AH171" s="582"/>
      <c r="AI171" s="582"/>
      <c r="AJ171" s="582"/>
      <c r="AK171" s="582"/>
      <c r="AL171" s="582"/>
      <c r="AM171" s="582"/>
      <c r="AN171" s="582"/>
      <c r="AO171" s="582"/>
      <c r="AP171" s="582"/>
      <c r="AQ171" s="882"/>
      <c r="AR171" s="882"/>
      <c r="AS171" s="882"/>
      <c r="AT171" s="882"/>
      <c r="AU171" s="882"/>
      <c r="AV171" s="882"/>
      <c r="AW171" s="882"/>
      <c r="AX171" s="882"/>
      <c r="AY171" s="582"/>
      <c r="AZ171" s="582"/>
      <c r="BA171" s="582"/>
      <c r="BB171" s="582"/>
    </row>
    <row r="172" spans="18:55" x14ac:dyDescent="0.2">
      <c r="R172" s="582"/>
      <c r="S172" s="582"/>
      <c r="T172" s="582"/>
      <c r="U172" s="582"/>
      <c r="V172" s="582"/>
      <c r="W172" s="582"/>
      <c r="X172" s="582"/>
      <c r="Y172" s="582"/>
      <c r="Z172" s="582"/>
      <c r="AA172" s="582"/>
      <c r="AB172" s="582"/>
      <c r="AC172" s="582"/>
      <c r="AD172" s="582"/>
      <c r="AE172" s="582"/>
      <c r="AF172" s="582"/>
      <c r="AG172" s="582"/>
      <c r="AH172" s="582"/>
      <c r="AI172" s="582"/>
      <c r="AJ172" s="582"/>
      <c r="AK172" s="582"/>
      <c r="AL172" s="582"/>
      <c r="AM172" s="582"/>
      <c r="AN172" s="582"/>
      <c r="AO172" s="582"/>
      <c r="AP172" s="582"/>
      <c r="AQ172" s="882"/>
      <c r="AR172" s="882"/>
      <c r="AS172" s="882"/>
      <c r="AT172" s="882"/>
      <c r="AU172" s="882"/>
      <c r="AV172" s="882"/>
      <c r="AW172" s="882"/>
      <c r="AX172" s="882"/>
      <c r="AY172" s="582"/>
      <c r="AZ172" s="582"/>
      <c r="BA172" s="582"/>
      <c r="BB172" s="582"/>
    </row>
    <row r="173" spans="18:55" x14ac:dyDescent="0.2">
      <c r="R173" s="582"/>
      <c r="S173" s="582"/>
      <c r="T173" s="582"/>
      <c r="U173" s="582"/>
      <c r="V173" s="582"/>
      <c r="W173" s="582"/>
      <c r="X173" s="582"/>
      <c r="Y173" s="582"/>
      <c r="Z173" s="582"/>
      <c r="AA173" s="582"/>
      <c r="AB173" s="582"/>
      <c r="AC173" s="582"/>
      <c r="AD173" s="582"/>
      <c r="AE173" s="582"/>
      <c r="AF173" s="582"/>
      <c r="AG173" s="582"/>
      <c r="AH173" s="582"/>
      <c r="AI173" s="582"/>
      <c r="AJ173" s="582"/>
      <c r="AK173" s="582"/>
      <c r="AL173" s="582"/>
      <c r="AM173" s="582"/>
      <c r="AN173" s="582"/>
      <c r="AO173" s="582"/>
      <c r="AP173" s="582"/>
      <c r="AQ173" s="882"/>
      <c r="AR173" s="882"/>
      <c r="AS173" s="882"/>
      <c r="AT173" s="882"/>
      <c r="AU173" s="882"/>
      <c r="AV173" s="882"/>
      <c r="AW173" s="882"/>
      <c r="AX173" s="882"/>
      <c r="AY173" s="582"/>
      <c r="AZ173" s="582"/>
      <c r="BA173" s="582"/>
      <c r="BB173" s="582"/>
    </row>
    <row r="174" spans="18:55" x14ac:dyDescent="0.2">
      <c r="R174" s="582"/>
      <c r="S174" s="582"/>
      <c r="T174" s="582"/>
      <c r="U174" s="582"/>
      <c r="V174" s="582"/>
      <c r="W174" s="582"/>
      <c r="X174" s="582"/>
      <c r="Y174" s="582"/>
      <c r="Z174" s="582"/>
      <c r="AA174" s="582"/>
      <c r="AB174" s="582"/>
      <c r="AC174" s="582"/>
      <c r="AD174" s="582"/>
      <c r="AE174" s="582"/>
      <c r="AF174" s="582"/>
      <c r="AG174" s="582"/>
      <c r="AH174" s="582"/>
      <c r="AI174" s="582"/>
      <c r="AJ174" s="582"/>
      <c r="AK174" s="582"/>
      <c r="AL174" s="582"/>
      <c r="AM174" s="582"/>
      <c r="AN174" s="582"/>
      <c r="AO174" s="582"/>
      <c r="AP174" s="582"/>
      <c r="AQ174" s="882"/>
      <c r="AR174" s="882"/>
      <c r="AS174" s="882"/>
      <c r="AT174" s="882"/>
      <c r="AU174" s="882"/>
      <c r="AV174" s="882"/>
      <c r="AW174" s="882"/>
      <c r="AX174" s="882"/>
      <c r="AY174" s="582"/>
      <c r="AZ174" s="582"/>
      <c r="BA174" s="582"/>
      <c r="BB174" s="582"/>
    </row>
    <row r="175" spans="18:55" x14ac:dyDescent="0.2">
      <c r="R175" s="582"/>
      <c r="S175" s="582"/>
      <c r="T175" s="582"/>
      <c r="U175" s="582"/>
      <c r="V175" s="582"/>
      <c r="W175" s="582"/>
      <c r="X175" s="582"/>
      <c r="Y175" s="582"/>
      <c r="Z175" s="582"/>
      <c r="AA175" s="582"/>
      <c r="AB175" s="582"/>
      <c r="AC175" s="582"/>
      <c r="AD175" s="582"/>
      <c r="AE175" s="582"/>
      <c r="AF175" s="582"/>
      <c r="AG175" s="582"/>
      <c r="AH175" s="582"/>
      <c r="AI175" s="582"/>
      <c r="AJ175" s="582"/>
      <c r="AK175" s="582"/>
      <c r="AL175" s="582"/>
      <c r="AM175" s="582"/>
      <c r="AN175" s="582"/>
      <c r="AO175" s="582"/>
      <c r="AP175" s="582"/>
      <c r="AQ175" s="882"/>
      <c r="AR175" s="882"/>
      <c r="AS175" s="882"/>
      <c r="AT175" s="882"/>
      <c r="AU175" s="882"/>
      <c r="AV175" s="882"/>
      <c r="AW175" s="882"/>
      <c r="AX175" s="882"/>
      <c r="AY175" s="582"/>
      <c r="AZ175" s="582"/>
      <c r="BA175" s="582"/>
      <c r="BB175" s="582"/>
    </row>
    <row r="176" spans="18:55" x14ac:dyDescent="0.2">
      <c r="R176" s="582"/>
      <c r="S176" s="582"/>
      <c r="T176" s="582"/>
      <c r="U176" s="582"/>
      <c r="V176" s="582"/>
      <c r="W176" s="582"/>
      <c r="X176" s="582"/>
      <c r="Y176" s="582"/>
      <c r="Z176" s="582"/>
      <c r="AA176" s="582"/>
      <c r="AB176" s="582"/>
      <c r="AC176" s="582"/>
      <c r="AD176" s="582"/>
      <c r="AE176" s="582"/>
      <c r="AF176" s="582"/>
      <c r="AG176" s="582"/>
      <c r="AH176" s="582"/>
      <c r="AI176" s="582"/>
      <c r="AJ176" s="582"/>
      <c r="AK176" s="582"/>
      <c r="AL176" s="582"/>
      <c r="AM176" s="582"/>
      <c r="AN176" s="582"/>
      <c r="AO176" s="582"/>
      <c r="AP176" s="582"/>
      <c r="AQ176" s="882"/>
      <c r="AR176" s="882"/>
      <c r="AS176" s="882"/>
      <c r="AT176" s="882"/>
      <c r="AU176" s="882"/>
      <c r="AV176" s="882"/>
      <c r="AW176" s="882"/>
      <c r="AX176" s="882"/>
      <c r="AY176" s="582"/>
      <c r="AZ176" s="582"/>
      <c r="BA176" s="582"/>
      <c r="BB176" s="582"/>
    </row>
    <row r="177" spans="18:54" x14ac:dyDescent="0.2">
      <c r="R177" s="582"/>
      <c r="S177" s="582"/>
      <c r="T177" s="582"/>
      <c r="U177" s="582"/>
      <c r="V177" s="582"/>
      <c r="W177" s="582"/>
      <c r="X177" s="582"/>
      <c r="Y177" s="582"/>
      <c r="Z177" s="582"/>
      <c r="AA177" s="582"/>
      <c r="AB177" s="582"/>
      <c r="AC177" s="582"/>
      <c r="AD177" s="582"/>
      <c r="AE177" s="582"/>
      <c r="AF177" s="582"/>
      <c r="AG177" s="582"/>
      <c r="AH177" s="582"/>
      <c r="AI177" s="582"/>
      <c r="AJ177" s="582"/>
      <c r="AK177" s="582"/>
      <c r="AL177" s="582"/>
      <c r="AM177" s="582"/>
      <c r="AN177" s="582"/>
      <c r="AO177" s="582"/>
      <c r="AP177" s="582"/>
      <c r="AQ177" s="882"/>
      <c r="AR177" s="882"/>
      <c r="AS177" s="882"/>
      <c r="AT177" s="882"/>
      <c r="AU177" s="882"/>
      <c r="AV177" s="882"/>
      <c r="AW177" s="882"/>
      <c r="AX177" s="882"/>
      <c r="AY177" s="582"/>
      <c r="AZ177" s="582"/>
      <c r="BA177" s="582"/>
      <c r="BB177" s="582"/>
    </row>
    <row r="178" spans="18:54" x14ac:dyDescent="0.2">
      <c r="R178" s="582"/>
      <c r="S178" s="582"/>
      <c r="T178" s="582"/>
      <c r="U178" s="582"/>
      <c r="V178" s="582"/>
      <c r="W178" s="582"/>
      <c r="X178" s="582"/>
      <c r="Y178" s="582"/>
      <c r="Z178" s="582"/>
      <c r="AA178" s="582"/>
      <c r="AB178" s="582"/>
      <c r="AC178" s="582"/>
      <c r="AD178" s="582"/>
      <c r="AE178" s="582"/>
      <c r="AF178" s="582"/>
      <c r="AG178" s="582"/>
      <c r="AH178" s="582"/>
      <c r="AI178" s="582"/>
      <c r="AJ178" s="582"/>
      <c r="AK178" s="582"/>
      <c r="AL178" s="582"/>
      <c r="AM178" s="582"/>
      <c r="AN178" s="582"/>
      <c r="AO178" s="582"/>
      <c r="AP178" s="582"/>
      <c r="AQ178" s="882"/>
      <c r="AR178" s="882"/>
      <c r="AS178" s="882"/>
      <c r="AT178" s="882"/>
      <c r="AU178" s="882"/>
      <c r="AV178" s="882"/>
      <c r="AW178" s="882"/>
      <c r="AX178" s="882"/>
      <c r="AY178" s="582"/>
      <c r="AZ178" s="582"/>
      <c r="BA178" s="582"/>
      <c r="BB178" s="582"/>
    </row>
    <row r="179" spans="18:54" x14ac:dyDescent="0.2">
      <c r="R179" s="582"/>
      <c r="S179" s="582"/>
      <c r="T179" s="582"/>
      <c r="U179" s="582"/>
      <c r="V179" s="582"/>
      <c r="W179" s="582"/>
      <c r="X179" s="582"/>
      <c r="Y179" s="582"/>
      <c r="Z179" s="582"/>
      <c r="AA179" s="582"/>
      <c r="AB179" s="582"/>
      <c r="AC179" s="582"/>
      <c r="AD179" s="582"/>
      <c r="AE179" s="582"/>
      <c r="AF179" s="582"/>
      <c r="AG179" s="582"/>
      <c r="AH179" s="582"/>
      <c r="AI179" s="582"/>
      <c r="AJ179" s="582"/>
      <c r="AK179" s="582"/>
      <c r="AL179" s="582"/>
      <c r="AM179" s="582"/>
      <c r="AN179" s="582"/>
      <c r="AO179" s="582"/>
      <c r="AP179" s="582"/>
      <c r="AQ179" s="882"/>
      <c r="AR179" s="882"/>
      <c r="AS179" s="882"/>
      <c r="AT179" s="882"/>
      <c r="AU179" s="882"/>
      <c r="AV179" s="882"/>
      <c r="AW179" s="882"/>
      <c r="AX179" s="882"/>
      <c r="AY179" s="582"/>
      <c r="AZ179" s="582"/>
      <c r="BA179" s="582"/>
      <c r="BB179" s="582"/>
    </row>
    <row r="180" spans="18:54" x14ac:dyDescent="0.2">
      <c r="R180" s="582"/>
      <c r="S180" s="582"/>
      <c r="T180" s="582"/>
      <c r="U180" s="582"/>
      <c r="V180" s="582"/>
      <c r="W180" s="582"/>
      <c r="X180" s="582"/>
      <c r="Y180" s="582"/>
      <c r="Z180" s="582"/>
      <c r="AA180" s="582"/>
      <c r="AB180" s="582"/>
      <c r="AC180" s="582"/>
      <c r="AD180" s="582"/>
      <c r="AE180" s="582"/>
      <c r="AF180" s="582"/>
      <c r="AG180" s="582"/>
      <c r="AH180" s="582"/>
      <c r="AI180" s="582"/>
      <c r="AJ180" s="582"/>
      <c r="AK180" s="582"/>
      <c r="AL180" s="582"/>
      <c r="AM180" s="582"/>
      <c r="AN180" s="582"/>
      <c r="AO180" s="582"/>
      <c r="AP180" s="582"/>
      <c r="AQ180" s="882"/>
      <c r="AR180" s="882"/>
      <c r="AS180" s="882"/>
      <c r="AT180" s="882"/>
      <c r="AU180" s="882"/>
      <c r="AV180" s="882"/>
      <c r="AW180" s="882"/>
      <c r="AX180" s="882"/>
      <c r="AY180" s="582"/>
      <c r="AZ180" s="582"/>
      <c r="BA180" s="582"/>
      <c r="BB180" s="582"/>
    </row>
    <row r="181" spans="18:54" x14ac:dyDescent="0.2">
      <c r="R181" s="582"/>
      <c r="S181" s="582"/>
      <c r="T181" s="582"/>
      <c r="U181" s="582"/>
      <c r="V181" s="582"/>
      <c r="W181" s="582"/>
      <c r="X181" s="582"/>
      <c r="Y181" s="582"/>
      <c r="Z181" s="582"/>
      <c r="AA181" s="582"/>
      <c r="AB181" s="582"/>
      <c r="AC181" s="582"/>
      <c r="AD181" s="582"/>
      <c r="AE181" s="582"/>
      <c r="AF181" s="582"/>
      <c r="AG181" s="582"/>
      <c r="AH181" s="582"/>
      <c r="AI181" s="582"/>
      <c r="AJ181" s="582"/>
      <c r="AK181" s="582"/>
      <c r="AL181" s="582"/>
      <c r="AM181" s="582"/>
      <c r="AN181" s="582"/>
      <c r="AO181" s="582"/>
      <c r="AP181" s="582"/>
      <c r="AQ181" s="882"/>
      <c r="AR181" s="882"/>
      <c r="AS181" s="882"/>
      <c r="AT181" s="882"/>
      <c r="AU181" s="882"/>
      <c r="AV181" s="882"/>
      <c r="AW181" s="882"/>
      <c r="AX181" s="882"/>
      <c r="AY181" s="582"/>
      <c r="AZ181" s="582"/>
      <c r="BA181" s="582"/>
      <c r="BB181" s="582"/>
    </row>
    <row r="182" spans="18:54" x14ac:dyDescent="0.2">
      <c r="R182" s="582"/>
      <c r="S182" s="582"/>
      <c r="T182" s="582"/>
      <c r="U182" s="582"/>
      <c r="V182" s="582"/>
      <c r="W182" s="582"/>
      <c r="X182" s="582"/>
      <c r="Y182" s="582"/>
      <c r="Z182" s="582"/>
      <c r="AA182" s="582"/>
      <c r="AB182" s="582"/>
      <c r="AC182" s="582"/>
      <c r="AD182" s="582"/>
      <c r="AE182" s="582"/>
      <c r="AF182" s="582"/>
      <c r="AG182" s="582"/>
      <c r="AH182" s="582"/>
      <c r="AI182" s="582"/>
      <c r="AJ182" s="582"/>
      <c r="AK182" s="582"/>
      <c r="AL182" s="582"/>
      <c r="AM182" s="582"/>
      <c r="AN182" s="582"/>
      <c r="AO182" s="582"/>
      <c r="AP182" s="582"/>
      <c r="AQ182" s="882"/>
      <c r="AR182" s="882"/>
      <c r="AS182" s="882"/>
      <c r="AT182" s="882"/>
      <c r="AU182" s="882"/>
      <c r="AV182" s="882"/>
      <c r="AW182" s="882"/>
      <c r="AX182" s="882"/>
      <c r="AY182" s="582"/>
      <c r="AZ182" s="582"/>
      <c r="BA182" s="582"/>
      <c r="BB182" s="582"/>
    </row>
    <row r="183" spans="18:54" x14ac:dyDescent="0.2">
      <c r="R183" s="582"/>
      <c r="S183" s="582"/>
      <c r="T183" s="582"/>
      <c r="U183" s="582"/>
      <c r="V183" s="582"/>
      <c r="W183" s="582"/>
      <c r="X183" s="582"/>
      <c r="Y183" s="582"/>
      <c r="Z183" s="582"/>
      <c r="AA183" s="582"/>
      <c r="AB183" s="582"/>
      <c r="AC183" s="582"/>
      <c r="AD183" s="582"/>
      <c r="AE183" s="582"/>
      <c r="AF183" s="582"/>
      <c r="AG183" s="582"/>
      <c r="AH183" s="582"/>
      <c r="AI183" s="582"/>
      <c r="AJ183" s="582"/>
      <c r="AK183" s="582"/>
      <c r="AL183" s="582"/>
      <c r="AM183" s="582"/>
      <c r="AN183" s="582"/>
      <c r="AO183" s="582"/>
      <c r="AP183" s="582"/>
      <c r="AQ183" s="882"/>
      <c r="AR183" s="882"/>
      <c r="AS183" s="882"/>
      <c r="AT183" s="882"/>
      <c r="AU183" s="882"/>
      <c r="AV183" s="882"/>
      <c r="AW183" s="882"/>
      <c r="AX183" s="882"/>
    </row>
    <row r="184" spans="18:54" x14ac:dyDescent="0.2">
      <c r="R184" s="582"/>
      <c r="S184" s="582"/>
      <c r="T184" s="582"/>
      <c r="U184" s="582"/>
      <c r="V184" s="582"/>
      <c r="W184" s="582"/>
      <c r="X184" s="582"/>
      <c r="Y184" s="582"/>
      <c r="Z184" s="582"/>
      <c r="AA184" s="582"/>
      <c r="AB184" s="582"/>
      <c r="AC184" s="582"/>
      <c r="AD184" s="582"/>
      <c r="AE184" s="582"/>
      <c r="AF184" s="582"/>
      <c r="AG184" s="582"/>
      <c r="AH184" s="582"/>
      <c r="AI184" s="582"/>
      <c r="AJ184" s="582"/>
      <c r="AK184" s="582"/>
      <c r="AL184" s="582"/>
      <c r="AM184" s="582"/>
      <c r="AN184" s="582"/>
      <c r="AO184" s="582"/>
      <c r="AP184" s="582"/>
      <c r="AQ184" s="882"/>
      <c r="AR184" s="882"/>
      <c r="AS184" s="882"/>
      <c r="AT184" s="882"/>
      <c r="AU184" s="882"/>
      <c r="AV184" s="882"/>
      <c r="AW184" s="882"/>
      <c r="AX184" s="882"/>
    </row>
    <row r="185" spans="18:54" x14ac:dyDescent="0.2">
      <c r="R185" s="582"/>
      <c r="S185" s="582"/>
      <c r="T185" s="582"/>
      <c r="U185" s="582"/>
      <c r="V185" s="582"/>
      <c r="W185" s="582"/>
      <c r="X185" s="582"/>
      <c r="Y185" s="582"/>
      <c r="Z185" s="582"/>
      <c r="AA185" s="582"/>
      <c r="AB185" s="582"/>
      <c r="AC185" s="582"/>
      <c r="AD185" s="582"/>
      <c r="AE185" s="582"/>
      <c r="AF185" s="582"/>
      <c r="AG185" s="582"/>
      <c r="AH185" s="582"/>
      <c r="AI185" s="582"/>
      <c r="AJ185" s="582"/>
      <c r="AK185" s="582"/>
      <c r="AL185" s="582"/>
      <c r="AM185" s="582"/>
      <c r="AN185" s="582"/>
      <c r="AO185" s="582"/>
      <c r="AP185" s="582"/>
      <c r="AQ185" s="882"/>
      <c r="AR185" s="882"/>
      <c r="AS185" s="882"/>
      <c r="AT185" s="882"/>
      <c r="AU185" s="882"/>
      <c r="AV185" s="882"/>
      <c r="AW185" s="882"/>
      <c r="AX185" s="882"/>
    </row>
    <row r="186" spans="18:54" x14ac:dyDescent="0.2">
      <c r="R186" s="582"/>
      <c r="S186" s="582"/>
      <c r="T186" s="582"/>
      <c r="U186" s="582"/>
      <c r="V186" s="582"/>
      <c r="W186" s="582"/>
      <c r="X186" s="582"/>
      <c r="Y186" s="582"/>
      <c r="Z186" s="582"/>
      <c r="AA186" s="582"/>
      <c r="AB186" s="582"/>
      <c r="AC186" s="582"/>
      <c r="AD186" s="582"/>
      <c r="AE186" s="582"/>
      <c r="AF186" s="582"/>
      <c r="AG186" s="582"/>
      <c r="AH186" s="582"/>
      <c r="AI186" s="582"/>
      <c r="AJ186" s="582"/>
      <c r="AK186" s="582"/>
      <c r="AL186" s="582"/>
      <c r="AM186" s="582"/>
      <c r="AN186" s="582"/>
      <c r="AO186" s="582"/>
      <c r="AP186" s="582"/>
      <c r="AQ186" s="882"/>
      <c r="AR186" s="882"/>
      <c r="AS186" s="882"/>
      <c r="AT186" s="882"/>
      <c r="AU186" s="882"/>
      <c r="AV186" s="882"/>
      <c r="AW186" s="882"/>
      <c r="AX186" s="882"/>
    </row>
    <row r="187" spans="18:54" x14ac:dyDescent="0.2">
      <c r="R187" s="582"/>
      <c r="S187" s="582"/>
      <c r="T187" s="582"/>
      <c r="U187" s="582"/>
      <c r="V187" s="582"/>
      <c r="W187" s="582"/>
      <c r="X187" s="582"/>
      <c r="Y187" s="582"/>
      <c r="Z187" s="582"/>
      <c r="AA187" s="582"/>
      <c r="AB187" s="582"/>
      <c r="AC187" s="582"/>
      <c r="AD187" s="582"/>
      <c r="AE187" s="582"/>
      <c r="AF187" s="582"/>
      <c r="AG187" s="582"/>
      <c r="AH187" s="582"/>
      <c r="AI187" s="582"/>
      <c r="AJ187" s="582"/>
      <c r="AK187" s="582"/>
      <c r="AL187" s="582"/>
      <c r="AM187" s="582"/>
      <c r="AN187" s="582"/>
      <c r="AO187" s="582"/>
      <c r="AP187" s="582"/>
      <c r="AQ187" s="882"/>
      <c r="AR187" s="882"/>
      <c r="AS187" s="882"/>
      <c r="AT187" s="882"/>
      <c r="AU187" s="882"/>
      <c r="AV187" s="882"/>
      <c r="AW187" s="882"/>
      <c r="AX187" s="882"/>
    </row>
    <row r="188" spans="18:54" x14ac:dyDescent="0.2">
      <c r="R188" s="582"/>
      <c r="S188" s="582"/>
      <c r="T188" s="582"/>
      <c r="U188" s="582"/>
      <c r="V188" s="582"/>
      <c r="W188" s="582"/>
      <c r="X188" s="582"/>
      <c r="Y188" s="582"/>
      <c r="Z188" s="582"/>
      <c r="AA188" s="582"/>
      <c r="AB188" s="582"/>
      <c r="AC188" s="582"/>
      <c r="AD188" s="582"/>
      <c r="AE188" s="582"/>
      <c r="AF188" s="582"/>
      <c r="AG188" s="582"/>
      <c r="AH188" s="582"/>
      <c r="AI188" s="582"/>
      <c r="AJ188" s="582"/>
      <c r="AK188" s="582"/>
      <c r="AL188" s="582"/>
      <c r="AM188" s="582"/>
      <c r="AN188" s="582"/>
      <c r="AO188" s="582"/>
      <c r="AP188" s="582"/>
      <c r="AQ188" s="882"/>
      <c r="AR188" s="882"/>
      <c r="AS188" s="882"/>
      <c r="AT188" s="882"/>
      <c r="AU188" s="882"/>
      <c r="AV188" s="882"/>
      <c r="AW188" s="882"/>
      <c r="AX188" s="882"/>
    </row>
    <row r="189" spans="18:54" x14ac:dyDescent="0.2">
      <c r="R189" s="582"/>
      <c r="S189" s="582"/>
      <c r="T189" s="582"/>
      <c r="U189" s="582"/>
      <c r="V189" s="582"/>
      <c r="W189" s="582"/>
      <c r="X189" s="582"/>
      <c r="Y189" s="582"/>
      <c r="Z189" s="582"/>
      <c r="AA189" s="582"/>
      <c r="AB189" s="582"/>
      <c r="AC189" s="582"/>
      <c r="AD189" s="582"/>
      <c r="AE189" s="582"/>
      <c r="AF189" s="582"/>
      <c r="AG189" s="582"/>
      <c r="AH189" s="582"/>
      <c r="AI189" s="582"/>
      <c r="AJ189" s="582"/>
      <c r="AK189" s="582"/>
      <c r="AL189" s="582"/>
      <c r="AM189" s="582"/>
      <c r="AN189" s="582"/>
      <c r="AO189" s="582"/>
      <c r="AP189" s="582"/>
      <c r="AQ189" s="882"/>
      <c r="AR189" s="882"/>
      <c r="AS189" s="882"/>
      <c r="AT189" s="882"/>
      <c r="AU189" s="882"/>
      <c r="AV189" s="882"/>
      <c r="AW189" s="882"/>
      <c r="AX189" s="882"/>
    </row>
    <row r="190" spans="18:54" x14ac:dyDescent="0.2">
      <c r="R190" s="582"/>
      <c r="S190" s="582"/>
      <c r="T190" s="582"/>
      <c r="U190" s="582"/>
      <c r="V190" s="582"/>
      <c r="W190" s="582"/>
      <c r="X190" s="582"/>
      <c r="Y190" s="582"/>
      <c r="Z190" s="582"/>
      <c r="AA190" s="582"/>
      <c r="AB190" s="582"/>
      <c r="AC190" s="582"/>
      <c r="AD190" s="582"/>
      <c r="AE190" s="582"/>
      <c r="AF190" s="582"/>
      <c r="AG190" s="582"/>
      <c r="AH190" s="582"/>
      <c r="AI190" s="582"/>
      <c r="AJ190" s="582"/>
      <c r="AK190" s="582"/>
      <c r="AL190" s="582"/>
      <c r="AM190" s="582"/>
      <c r="AN190" s="582"/>
      <c r="AO190" s="582"/>
      <c r="AP190" s="582"/>
      <c r="AQ190" s="882"/>
      <c r="AR190" s="882"/>
      <c r="AS190" s="882"/>
      <c r="AT190" s="882"/>
      <c r="AU190" s="882"/>
      <c r="AV190" s="882"/>
      <c r="AW190" s="882"/>
      <c r="AX190" s="882"/>
    </row>
    <row r="191" spans="18:54" x14ac:dyDescent="0.2">
      <c r="R191" s="582"/>
      <c r="S191" s="582"/>
      <c r="T191" s="582"/>
      <c r="U191" s="582"/>
      <c r="V191" s="582"/>
      <c r="W191" s="582"/>
      <c r="X191" s="582"/>
      <c r="Y191" s="582"/>
      <c r="Z191" s="582"/>
      <c r="AA191" s="582"/>
      <c r="AB191" s="582"/>
      <c r="AC191" s="582"/>
      <c r="AD191" s="582"/>
      <c r="AE191" s="582"/>
      <c r="AF191" s="582"/>
      <c r="AG191" s="582"/>
      <c r="AH191" s="582"/>
      <c r="AI191" s="582"/>
      <c r="AJ191" s="582"/>
      <c r="AK191" s="582"/>
      <c r="AL191" s="582"/>
      <c r="AM191" s="582"/>
      <c r="AN191" s="582"/>
      <c r="AO191" s="582"/>
      <c r="AP191" s="582"/>
      <c r="AQ191" s="882"/>
      <c r="AR191" s="882"/>
      <c r="AS191" s="882"/>
      <c r="AT191" s="882"/>
      <c r="AU191" s="882"/>
      <c r="AV191" s="882"/>
      <c r="AW191" s="882"/>
      <c r="AX191" s="882"/>
    </row>
    <row r="192" spans="18:54" x14ac:dyDescent="0.2">
      <c r="R192" s="582"/>
      <c r="S192" s="582"/>
      <c r="T192" s="582"/>
      <c r="U192" s="582"/>
      <c r="V192" s="582"/>
      <c r="W192" s="582"/>
      <c r="X192" s="582"/>
      <c r="Y192" s="582"/>
      <c r="Z192" s="582"/>
      <c r="AA192" s="582"/>
      <c r="AB192" s="582"/>
      <c r="AC192" s="582"/>
      <c r="AD192" s="582"/>
      <c r="AE192" s="582"/>
      <c r="AF192" s="582"/>
      <c r="AG192" s="582"/>
      <c r="AH192" s="582"/>
      <c r="AI192" s="582"/>
      <c r="AJ192" s="582"/>
      <c r="AK192" s="582"/>
      <c r="AL192" s="582"/>
      <c r="AM192" s="582"/>
      <c r="AN192" s="582"/>
      <c r="AO192" s="582"/>
      <c r="AP192" s="582"/>
      <c r="AQ192" s="882"/>
      <c r="AR192" s="882"/>
      <c r="AS192" s="882"/>
      <c r="AT192" s="882"/>
      <c r="AU192" s="882"/>
      <c r="AV192" s="882"/>
      <c r="AW192" s="882"/>
      <c r="AX192" s="882"/>
    </row>
    <row r="193" spans="18:50" x14ac:dyDescent="0.2">
      <c r="R193" s="582"/>
      <c r="S193" s="582"/>
      <c r="T193" s="582"/>
      <c r="U193" s="582"/>
      <c r="V193" s="582"/>
      <c r="W193" s="582"/>
      <c r="X193" s="582"/>
      <c r="Y193" s="582"/>
      <c r="Z193" s="582"/>
      <c r="AA193" s="582"/>
      <c r="AB193" s="582"/>
      <c r="AC193" s="582"/>
      <c r="AD193" s="582"/>
      <c r="AE193" s="582"/>
      <c r="AF193" s="582"/>
      <c r="AG193" s="582"/>
      <c r="AH193" s="582"/>
      <c r="AI193" s="582"/>
      <c r="AJ193" s="582"/>
      <c r="AK193" s="582"/>
      <c r="AL193" s="582"/>
      <c r="AM193" s="582"/>
      <c r="AN193" s="582"/>
      <c r="AO193" s="582"/>
      <c r="AP193" s="582"/>
      <c r="AQ193" s="882"/>
      <c r="AR193" s="882"/>
      <c r="AS193" s="882"/>
      <c r="AT193" s="882"/>
      <c r="AU193" s="882"/>
      <c r="AV193" s="882"/>
      <c r="AW193" s="882"/>
      <c r="AX193" s="882"/>
    </row>
    <row r="194" spans="18:50" x14ac:dyDescent="0.2">
      <c r="R194" s="582"/>
      <c r="S194" s="582"/>
      <c r="T194" s="582"/>
      <c r="U194" s="582"/>
      <c r="V194" s="582"/>
      <c r="W194" s="582"/>
      <c r="X194" s="582"/>
      <c r="Y194" s="582"/>
      <c r="Z194" s="582"/>
      <c r="AA194" s="582"/>
      <c r="AB194" s="582"/>
      <c r="AC194" s="582"/>
      <c r="AD194" s="582"/>
      <c r="AE194" s="582"/>
      <c r="AF194" s="582"/>
      <c r="AG194" s="582"/>
      <c r="AH194" s="582"/>
      <c r="AI194" s="582"/>
      <c r="AJ194" s="582"/>
      <c r="AK194" s="582"/>
      <c r="AL194" s="582"/>
      <c r="AM194" s="582"/>
      <c r="AN194" s="582"/>
      <c r="AO194" s="582"/>
      <c r="AP194" s="582"/>
      <c r="AQ194" s="882"/>
      <c r="AR194" s="880"/>
      <c r="AS194" s="880"/>
      <c r="AT194" s="880"/>
      <c r="AU194" s="880"/>
      <c r="AV194" s="880"/>
      <c r="AW194" s="880"/>
      <c r="AX194" s="880"/>
    </row>
    <row r="195" spans="18:50" x14ac:dyDescent="0.2">
      <c r="R195" s="582"/>
      <c r="S195" s="582"/>
      <c r="T195" s="582"/>
      <c r="U195" s="582"/>
      <c r="V195" s="582"/>
      <c r="W195" s="582"/>
      <c r="X195" s="582"/>
      <c r="Y195" s="582"/>
      <c r="Z195" s="582"/>
      <c r="AA195" s="582"/>
      <c r="AB195" s="582"/>
      <c r="AC195" s="582"/>
      <c r="AD195" s="582"/>
      <c r="AE195" s="582"/>
      <c r="AF195" s="582"/>
      <c r="AG195" s="582"/>
      <c r="AH195" s="582"/>
      <c r="AI195" s="582"/>
      <c r="AJ195" s="582"/>
      <c r="AK195" s="582"/>
      <c r="AL195" s="582"/>
      <c r="AM195" s="582"/>
      <c r="AN195" s="582"/>
      <c r="AO195" s="582"/>
      <c r="AP195" s="582"/>
      <c r="AQ195" s="882"/>
      <c r="AR195" s="880"/>
      <c r="AS195" s="880"/>
      <c r="AT195" s="880"/>
      <c r="AU195" s="880"/>
      <c r="AV195" s="880"/>
      <c r="AW195" s="880"/>
      <c r="AX195" s="880"/>
    </row>
    <row r="196" spans="18:50" x14ac:dyDescent="0.2">
      <c r="R196" s="582"/>
      <c r="S196" s="582"/>
      <c r="T196" s="582"/>
      <c r="U196" s="582"/>
      <c r="V196" s="582"/>
      <c r="W196" s="582"/>
      <c r="X196" s="582"/>
      <c r="Y196" s="582"/>
      <c r="Z196" s="582"/>
      <c r="AA196" s="582"/>
      <c r="AB196" s="582"/>
      <c r="AC196" s="582"/>
      <c r="AD196" s="582"/>
      <c r="AE196" s="582"/>
      <c r="AF196" s="582"/>
      <c r="AG196" s="582"/>
      <c r="AH196" s="582"/>
      <c r="AI196" s="582"/>
      <c r="AJ196" s="582"/>
      <c r="AK196" s="582"/>
      <c r="AL196" s="582"/>
      <c r="AM196" s="582"/>
      <c r="AN196" s="582"/>
      <c r="AO196" s="582"/>
      <c r="AP196" s="582"/>
      <c r="AQ196" s="882"/>
      <c r="AR196" s="880"/>
      <c r="AS196" s="880"/>
      <c r="AT196" s="880"/>
      <c r="AU196" s="880"/>
      <c r="AV196" s="880"/>
      <c r="AW196" s="880"/>
      <c r="AX196" s="880"/>
    </row>
    <row r="197" spans="18:50" x14ac:dyDescent="0.2">
      <c r="R197" s="582"/>
      <c r="S197" s="582"/>
      <c r="T197" s="582"/>
      <c r="U197" s="582"/>
      <c r="V197" s="582"/>
      <c r="W197" s="582"/>
      <c r="X197" s="582"/>
      <c r="Y197" s="582"/>
      <c r="Z197" s="582"/>
      <c r="AA197" s="582"/>
      <c r="AB197" s="582"/>
      <c r="AC197" s="582"/>
      <c r="AD197" s="582"/>
      <c r="AE197" s="582"/>
      <c r="AF197" s="582"/>
      <c r="AG197" s="582"/>
      <c r="AH197" s="582"/>
      <c r="AI197" s="582"/>
      <c r="AJ197" s="582"/>
      <c r="AK197" s="582"/>
      <c r="AL197" s="582"/>
      <c r="AM197" s="582"/>
      <c r="AN197" s="582"/>
      <c r="AO197" s="582"/>
      <c r="AP197" s="582"/>
      <c r="AQ197" s="882"/>
      <c r="AR197" s="880"/>
      <c r="AS197" s="880"/>
      <c r="AT197" s="880"/>
      <c r="AU197" s="880"/>
      <c r="AV197" s="880"/>
      <c r="AW197" s="880"/>
      <c r="AX197" s="880"/>
    </row>
    <row r="198" spans="18:50" x14ac:dyDescent="0.2">
      <c r="R198" s="582"/>
      <c r="S198" s="582"/>
      <c r="T198" s="582"/>
      <c r="U198" s="582"/>
      <c r="V198" s="582"/>
      <c r="W198" s="582"/>
      <c r="X198" s="582"/>
      <c r="Y198" s="582"/>
      <c r="Z198" s="582"/>
      <c r="AA198" s="582"/>
      <c r="AB198" s="582"/>
      <c r="AC198" s="582"/>
      <c r="AD198" s="582"/>
      <c r="AE198" s="582"/>
      <c r="AF198" s="582"/>
      <c r="AG198" s="582"/>
      <c r="AH198" s="582"/>
      <c r="AI198" s="582"/>
      <c r="AJ198" s="582"/>
      <c r="AK198" s="582"/>
      <c r="AL198" s="582"/>
      <c r="AM198" s="582"/>
      <c r="AN198" s="582"/>
      <c r="AO198" s="582"/>
      <c r="AP198" s="582"/>
      <c r="AQ198" s="882"/>
      <c r="AR198" s="880"/>
      <c r="AS198" s="880"/>
      <c r="AT198" s="880"/>
      <c r="AU198" s="880"/>
      <c r="AV198" s="880"/>
      <c r="AW198" s="880"/>
      <c r="AX198" s="880"/>
    </row>
    <row r="199" spans="18:50" x14ac:dyDescent="0.2">
      <c r="R199" s="582"/>
      <c r="S199" s="582"/>
      <c r="T199" s="582"/>
      <c r="U199" s="582"/>
      <c r="V199" s="582"/>
      <c r="W199" s="582"/>
      <c r="X199" s="582"/>
      <c r="Y199" s="582"/>
      <c r="Z199" s="582"/>
      <c r="AA199" s="582"/>
      <c r="AB199" s="582"/>
      <c r="AC199" s="582"/>
      <c r="AD199" s="582"/>
      <c r="AE199" s="582"/>
      <c r="AF199" s="582"/>
      <c r="AG199" s="582"/>
      <c r="AH199" s="582"/>
      <c r="AI199" s="582"/>
      <c r="AJ199" s="582"/>
      <c r="AK199" s="582"/>
      <c r="AL199" s="582"/>
      <c r="AM199" s="582"/>
      <c r="AN199" s="582"/>
      <c r="AO199" s="582"/>
      <c r="AP199" s="582"/>
      <c r="AQ199" s="882"/>
      <c r="AR199" s="880"/>
      <c r="AS199" s="880"/>
      <c r="AT199" s="880"/>
      <c r="AU199" s="880"/>
      <c r="AV199" s="880"/>
      <c r="AW199" s="880"/>
      <c r="AX199" s="880"/>
    </row>
    <row r="200" spans="18:50" x14ac:dyDescent="0.2">
      <c r="R200" s="582"/>
      <c r="S200" s="582"/>
      <c r="T200" s="582"/>
      <c r="U200" s="582"/>
      <c r="V200" s="582"/>
      <c r="W200" s="582"/>
      <c r="X200" s="582"/>
      <c r="Y200" s="582"/>
      <c r="Z200" s="582"/>
      <c r="AA200" s="582"/>
      <c r="AB200" s="582"/>
      <c r="AC200" s="582"/>
      <c r="AD200" s="582"/>
      <c r="AE200" s="582"/>
      <c r="AF200" s="582"/>
      <c r="AG200" s="582"/>
      <c r="AH200" s="582"/>
      <c r="AI200" s="582"/>
      <c r="AJ200" s="582"/>
      <c r="AK200" s="582"/>
      <c r="AL200" s="582"/>
      <c r="AM200" s="582"/>
      <c r="AN200" s="582"/>
      <c r="AO200" s="582"/>
      <c r="AP200" s="582"/>
      <c r="AQ200" s="882"/>
      <c r="AR200" s="880"/>
      <c r="AS200" s="880"/>
      <c r="AT200" s="880"/>
      <c r="AU200" s="880"/>
      <c r="AV200" s="880"/>
      <c r="AW200" s="880"/>
      <c r="AX200" s="880"/>
    </row>
    <row r="201" spans="18:50" x14ac:dyDescent="0.2">
      <c r="R201" s="582"/>
      <c r="S201" s="582"/>
      <c r="T201" s="582"/>
      <c r="U201" s="582"/>
      <c r="V201" s="582"/>
      <c r="W201" s="582"/>
      <c r="X201" s="582"/>
      <c r="Y201" s="582"/>
      <c r="Z201" s="582"/>
      <c r="AA201" s="582"/>
      <c r="AB201" s="582"/>
      <c r="AC201" s="582"/>
      <c r="AD201" s="582"/>
      <c r="AE201" s="582"/>
      <c r="AF201" s="582"/>
      <c r="AG201" s="582"/>
      <c r="AH201" s="582"/>
      <c r="AI201" s="582"/>
      <c r="AJ201" s="582"/>
      <c r="AK201" s="582"/>
      <c r="AL201" s="582"/>
      <c r="AM201" s="582"/>
      <c r="AN201" s="582"/>
      <c r="AO201" s="582"/>
      <c r="AP201" s="582"/>
      <c r="AQ201" s="882"/>
      <c r="AR201" s="880"/>
      <c r="AS201" s="880"/>
      <c r="AT201" s="880"/>
      <c r="AU201" s="880"/>
      <c r="AV201" s="880"/>
      <c r="AW201" s="880"/>
      <c r="AX201" s="880"/>
    </row>
    <row r="202" spans="18:50" x14ac:dyDescent="0.2">
      <c r="AQ202" s="880"/>
      <c r="AR202" s="880"/>
      <c r="AS202" s="880"/>
      <c r="AT202" s="880"/>
      <c r="AU202" s="880"/>
      <c r="AV202" s="880"/>
      <c r="AW202" s="880"/>
      <c r="AX202" s="880"/>
    </row>
    <row r="203" spans="18:50" x14ac:dyDescent="0.2">
      <c r="AQ203" s="880"/>
      <c r="AR203" s="880"/>
      <c r="AS203" s="880"/>
      <c r="AT203" s="880"/>
      <c r="AU203" s="880"/>
      <c r="AV203" s="880"/>
      <c r="AW203" s="880"/>
      <c r="AX203" s="880"/>
    </row>
    <row r="204" spans="18:50" x14ac:dyDescent="0.2">
      <c r="AQ204" s="880"/>
      <c r="AR204" s="880"/>
      <c r="AS204" s="880"/>
      <c r="AT204" s="880"/>
      <c r="AU204" s="880"/>
      <c r="AV204" s="880"/>
      <c r="AW204" s="880"/>
      <c r="AX204" s="880"/>
    </row>
    <row r="205" spans="18:50" x14ac:dyDescent="0.2">
      <c r="AQ205" s="880"/>
      <c r="AR205" s="880"/>
      <c r="AS205" s="880"/>
      <c r="AT205" s="880"/>
      <c r="AU205" s="880"/>
      <c r="AV205" s="880"/>
      <c r="AW205" s="880"/>
      <c r="AX205" s="880"/>
    </row>
    <row r="206" spans="18:50" x14ac:dyDescent="0.2">
      <c r="AQ206" s="880"/>
      <c r="AR206" s="880"/>
      <c r="AS206" s="880"/>
      <c r="AT206" s="880"/>
      <c r="AU206" s="880"/>
      <c r="AV206" s="880"/>
      <c r="AW206" s="880"/>
      <c r="AX206" s="880"/>
    </row>
    <row r="207" spans="18:50" x14ac:dyDescent="0.2">
      <c r="AQ207" s="880"/>
      <c r="AR207" s="880"/>
      <c r="AS207" s="880"/>
      <c r="AT207" s="880"/>
      <c r="AU207" s="880"/>
      <c r="AV207" s="880"/>
      <c r="AW207" s="880"/>
      <c r="AX207" s="880"/>
    </row>
    <row r="208" spans="18:50" x14ac:dyDescent="0.2">
      <c r="AQ208" s="880"/>
      <c r="AR208" s="880"/>
      <c r="AS208" s="880"/>
      <c r="AT208" s="880"/>
      <c r="AU208" s="880"/>
      <c r="AV208" s="880"/>
      <c r="AW208" s="880"/>
      <c r="AX208" s="880"/>
    </row>
    <row r="209" spans="43:50" x14ac:dyDescent="0.2">
      <c r="AQ209" s="880"/>
      <c r="AR209" s="880"/>
      <c r="AS209" s="880"/>
      <c r="AT209" s="880"/>
      <c r="AU209" s="880"/>
      <c r="AV209" s="880"/>
      <c r="AW209" s="880"/>
      <c r="AX209" s="880"/>
    </row>
    <row r="210" spans="43:50" x14ac:dyDescent="0.2">
      <c r="AQ210" s="880"/>
      <c r="AR210" s="880"/>
      <c r="AS210" s="880"/>
      <c r="AT210" s="880"/>
      <c r="AU210" s="880"/>
      <c r="AV210" s="880"/>
      <c r="AW210" s="880"/>
      <c r="AX210" s="880"/>
    </row>
  </sheetData>
  <sheetProtection algorithmName="SHA-512" hashValue="JeEB0LgUSat/I7Ew6HBm411weEYDpdLIuU9rUS15kaGpUShxdz7sz5fXdYR5KrxyEXfq0RQoholhJHx0bDfUqQ==" saltValue="+Ufn338Tlkqgx7MQx9Khvg==" spinCount="100000" sheet="1" objects="1" scenarios="1" selectLockedCells="1"/>
  <customSheetViews>
    <customSheetView guid="{FE27F3BB-8686-48A9-9FE6-C2348F62E79E}" showGridLines="0" hiddenRows="1" hiddenColumns="1">
      <selection activeCell="M20" sqref="M20"/>
      <rowBreaks count="1" manualBreakCount="1">
        <brk id="66" max="15" man="1"/>
      </rowBreaks>
      <colBreaks count="1" manualBreakCount="1">
        <brk id="16" max="1048575" man="1"/>
      </colBreaks>
      <pageMargins left="0.70866141732283472" right="0.70866141732283472" top="0.78740157480314965" bottom="0.78740157480314965" header="0.31496062992125984" footer="0.31496062992125984"/>
      <pageSetup paperSize="9" scale="74" orientation="portrait" r:id="rId1"/>
    </customSheetView>
  </customSheetViews>
  <mergeCells count="101">
    <mergeCell ref="N61:O61"/>
    <mergeCell ref="A51:C51"/>
    <mergeCell ref="F51:G51"/>
    <mergeCell ref="J51:K51"/>
    <mergeCell ref="N51:O51"/>
    <mergeCell ref="A52:C52"/>
    <mergeCell ref="F52:G52"/>
    <mergeCell ref="J52:K52"/>
    <mergeCell ref="N52:O52"/>
    <mergeCell ref="E54:G54"/>
    <mergeCell ref="I54:K54"/>
    <mergeCell ref="M28:O28"/>
    <mergeCell ref="B17:P17"/>
    <mergeCell ref="G14:L14"/>
    <mergeCell ref="D14:E14"/>
    <mergeCell ref="A24:C24"/>
    <mergeCell ref="A25:C25"/>
    <mergeCell ref="A26:C26"/>
    <mergeCell ref="E28:G28"/>
    <mergeCell ref="I28:K28"/>
    <mergeCell ref="A1:O1"/>
    <mergeCell ref="C4:O4"/>
    <mergeCell ref="C5:O5"/>
    <mergeCell ref="C6:O6"/>
    <mergeCell ref="G13:L13"/>
    <mergeCell ref="B11:P11"/>
    <mergeCell ref="A9:P9"/>
    <mergeCell ref="D15:E15"/>
    <mergeCell ref="D13:E13"/>
    <mergeCell ref="B100:P100"/>
    <mergeCell ref="A98:P98"/>
    <mergeCell ref="E71:G71"/>
    <mergeCell ref="I71:K71"/>
    <mergeCell ref="B57:P57"/>
    <mergeCell ref="E67:G67"/>
    <mergeCell ref="I67:K67"/>
    <mergeCell ref="M67:O67"/>
    <mergeCell ref="M71:O71"/>
    <mergeCell ref="B69:P69"/>
    <mergeCell ref="A64:C64"/>
    <mergeCell ref="F64:G64"/>
    <mergeCell ref="J64:K64"/>
    <mergeCell ref="N64:O64"/>
    <mergeCell ref="A65:C65"/>
    <mergeCell ref="F65:G65"/>
    <mergeCell ref="J65:K65"/>
    <mergeCell ref="N65:O65"/>
    <mergeCell ref="F62:G62"/>
    <mergeCell ref="C82:M82"/>
    <mergeCell ref="C81:M81"/>
    <mergeCell ref="N63:O63"/>
    <mergeCell ref="A63:C63"/>
    <mergeCell ref="F63:G63"/>
    <mergeCell ref="J63:K63"/>
    <mergeCell ref="I42:K42"/>
    <mergeCell ref="M42:O42"/>
    <mergeCell ref="E34:G34"/>
    <mergeCell ref="I34:K34"/>
    <mergeCell ref="M34:O34"/>
    <mergeCell ref="B36:P36"/>
    <mergeCell ref="N50:O50"/>
    <mergeCell ref="E45:G45"/>
    <mergeCell ref="I45:K45"/>
    <mergeCell ref="M45:O45"/>
    <mergeCell ref="J47:K47"/>
    <mergeCell ref="N47:O47"/>
    <mergeCell ref="F48:G48"/>
    <mergeCell ref="J48:K48"/>
    <mergeCell ref="N48:O48"/>
    <mergeCell ref="F47:G47"/>
    <mergeCell ref="E40:G40"/>
    <mergeCell ref="I40:K40"/>
    <mergeCell ref="E59:G59"/>
    <mergeCell ref="I59:K59"/>
    <mergeCell ref="M59:O59"/>
    <mergeCell ref="F61:G61"/>
    <mergeCell ref="J61:K61"/>
    <mergeCell ref="S1:Y1"/>
    <mergeCell ref="B8:P8"/>
    <mergeCell ref="E41:G41"/>
    <mergeCell ref="A41:C41"/>
    <mergeCell ref="I41:K41"/>
    <mergeCell ref="M41:O41"/>
    <mergeCell ref="A77:C77"/>
    <mergeCell ref="E80:G80"/>
    <mergeCell ref="I80:K80"/>
    <mergeCell ref="M80:O80"/>
    <mergeCell ref="M54:O54"/>
    <mergeCell ref="F49:G49"/>
    <mergeCell ref="J49:K49"/>
    <mergeCell ref="N49:O49"/>
    <mergeCell ref="A50:C50"/>
    <mergeCell ref="F50:G50"/>
    <mergeCell ref="J50:K50"/>
    <mergeCell ref="E38:G38"/>
    <mergeCell ref="I38:K38"/>
    <mergeCell ref="M38:O38"/>
    <mergeCell ref="M40:O40"/>
    <mergeCell ref="E42:G42"/>
    <mergeCell ref="J62:K62"/>
    <mergeCell ref="N62:O62"/>
  </mergeCells>
  <dataValidations disablePrompts="1" count="1">
    <dataValidation type="list" allowBlank="1" showInputMessage="1" showErrorMessage="1" sqref="AD16">
      <formula1>"nur WW,WW+RH"</formula1>
    </dataValidation>
  </dataValidations>
  <pageMargins left="0.70866141732283472" right="0.70866141732283472" top="0.78740157480314965" bottom="0.78740157480314965" header="0.31496062992125984" footer="0.31496062992125984"/>
  <pageSetup paperSize="9" scale="74" orientation="portrait" r:id="rId2"/>
  <headerFooter>
    <oddFooter>&amp;L&amp;D&amp;RSeite &amp;P von &amp;N</oddFooter>
  </headerFooter>
  <rowBreaks count="1" manualBreakCount="1">
    <brk id="68" max="15" man="1"/>
  </rowBreaks>
  <colBreaks count="1" manualBreakCount="1">
    <brk id="16" max="1048575" man="1"/>
  </colBreaks>
  <ignoredErrors>
    <ignoredError sqref="AR101 AR102:AU104 AS101:AT101" evalError="1"/>
    <ignoredError sqref="AR140:AT140" formula="1"/>
    <ignoredError sqref="D14"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3314" r:id="rId5" name="Check Box 2">
              <controlPr defaultSize="0" autoFill="0" autoLine="0" autoPict="0">
                <anchor moveWithCells="1">
                  <from>
                    <xdr:col>0</xdr:col>
                    <xdr:colOff>0</xdr:colOff>
                    <xdr:row>58</xdr:row>
                    <xdr:rowOff>114300</xdr:rowOff>
                  </from>
                  <to>
                    <xdr:col>2</xdr:col>
                    <xdr:colOff>1562100</xdr:colOff>
                    <xdr:row>60</xdr:row>
                    <xdr:rowOff>38100</xdr:rowOff>
                  </to>
                </anchor>
              </controlPr>
            </control>
          </mc:Choice>
        </mc:AlternateContent>
        <mc:AlternateContent xmlns:mc="http://schemas.openxmlformats.org/markup-compatibility/2006">
          <mc:Choice Requires="x14">
            <control shapeId="13315" r:id="rId6" name="Drop Down 3">
              <controlPr defaultSize="0" autoLine="0" autoPict="0">
                <anchor moveWithCells="1">
                  <from>
                    <xdr:col>4</xdr:col>
                    <xdr:colOff>0</xdr:colOff>
                    <xdr:row>18</xdr:row>
                    <xdr:rowOff>0</xdr:rowOff>
                  </from>
                  <to>
                    <xdr:col>6</xdr:col>
                    <xdr:colOff>304800</xdr:colOff>
                    <xdr:row>19</xdr:row>
                    <xdr:rowOff>19050</xdr:rowOff>
                  </to>
                </anchor>
              </controlPr>
            </control>
          </mc:Choice>
        </mc:AlternateContent>
        <mc:AlternateContent xmlns:mc="http://schemas.openxmlformats.org/markup-compatibility/2006">
          <mc:Choice Requires="x14">
            <control shapeId="13316" r:id="rId7" name="Drop Down 4">
              <controlPr defaultSize="0" autoLine="0" autoPict="0">
                <anchor moveWithCells="1">
                  <from>
                    <xdr:col>8</xdr:col>
                    <xdr:colOff>0</xdr:colOff>
                    <xdr:row>18</xdr:row>
                    <xdr:rowOff>0</xdr:rowOff>
                  </from>
                  <to>
                    <xdr:col>10</xdr:col>
                    <xdr:colOff>295275</xdr:colOff>
                    <xdr:row>19</xdr:row>
                    <xdr:rowOff>19050</xdr:rowOff>
                  </to>
                </anchor>
              </controlPr>
            </control>
          </mc:Choice>
        </mc:AlternateContent>
        <mc:AlternateContent xmlns:mc="http://schemas.openxmlformats.org/markup-compatibility/2006">
          <mc:Choice Requires="x14">
            <control shapeId="13317" r:id="rId8" name="Drop Down 5">
              <controlPr defaultSize="0" autoLine="0" autoPict="0">
                <anchor moveWithCells="1">
                  <from>
                    <xdr:col>12</xdr:col>
                    <xdr:colOff>0</xdr:colOff>
                    <xdr:row>18</xdr:row>
                    <xdr:rowOff>0</xdr:rowOff>
                  </from>
                  <to>
                    <xdr:col>14</xdr:col>
                    <xdr:colOff>304800</xdr:colOff>
                    <xdr:row>19</xdr:row>
                    <xdr:rowOff>19050</xdr:rowOff>
                  </to>
                </anchor>
              </controlPr>
            </control>
          </mc:Choice>
        </mc:AlternateContent>
        <mc:AlternateContent xmlns:mc="http://schemas.openxmlformats.org/markup-compatibility/2006">
          <mc:Choice Requires="x14">
            <control shapeId="13335" r:id="rId9" name="Check Box 23">
              <controlPr defaultSize="0" autoFill="0" autoLine="0" autoPict="0">
                <anchor moveWithCells="1">
                  <from>
                    <xdr:col>4</xdr:col>
                    <xdr:colOff>0</xdr:colOff>
                    <xdr:row>40</xdr:row>
                    <xdr:rowOff>0</xdr:rowOff>
                  </from>
                  <to>
                    <xdr:col>4</xdr:col>
                    <xdr:colOff>304800</xdr:colOff>
                    <xdr:row>41</xdr:row>
                    <xdr:rowOff>19050</xdr:rowOff>
                  </to>
                </anchor>
              </controlPr>
            </control>
          </mc:Choice>
        </mc:AlternateContent>
        <mc:AlternateContent xmlns:mc="http://schemas.openxmlformats.org/markup-compatibility/2006">
          <mc:Choice Requires="x14">
            <control shapeId="13336" r:id="rId10" name="Check Box 24">
              <controlPr defaultSize="0" autoFill="0" autoLine="0" autoPict="0">
                <anchor moveWithCells="1">
                  <from>
                    <xdr:col>8</xdr:col>
                    <xdr:colOff>0</xdr:colOff>
                    <xdr:row>39</xdr:row>
                    <xdr:rowOff>200025</xdr:rowOff>
                  </from>
                  <to>
                    <xdr:col>8</xdr:col>
                    <xdr:colOff>304800</xdr:colOff>
                    <xdr:row>41</xdr:row>
                    <xdr:rowOff>9525</xdr:rowOff>
                  </to>
                </anchor>
              </controlPr>
            </control>
          </mc:Choice>
        </mc:AlternateContent>
        <mc:AlternateContent xmlns:mc="http://schemas.openxmlformats.org/markup-compatibility/2006">
          <mc:Choice Requires="x14">
            <control shapeId="13337" r:id="rId11" name="Check Box 25">
              <controlPr defaultSize="0" autoFill="0" autoLine="0" autoPict="0">
                <anchor moveWithCells="1">
                  <from>
                    <xdr:col>11</xdr:col>
                    <xdr:colOff>104775</xdr:colOff>
                    <xdr:row>39</xdr:row>
                    <xdr:rowOff>200025</xdr:rowOff>
                  </from>
                  <to>
                    <xdr:col>12</xdr:col>
                    <xdr:colOff>295275</xdr:colOff>
                    <xdr:row>41</xdr:row>
                    <xdr:rowOff>9525</xdr:rowOff>
                  </to>
                </anchor>
              </controlPr>
            </control>
          </mc:Choice>
        </mc:AlternateContent>
        <mc:AlternateContent xmlns:mc="http://schemas.openxmlformats.org/markup-compatibility/2006">
          <mc:Choice Requires="x14">
            <control shapeId="13338" r:id="rId12" name="Check Box 26">
              <controlPr defaultSize="0" autoFill="0" autoLine="0" autoPict="0">
                <anchor moveWithCells="1">
                  <from>
                    <xdr:col>8</xdr:col>
                    <xdr:colOff>0</xdr:colOff>
                    <xdr:row>40</xdr:row>
                    <xdr:rowOff>0</xdr:rowOff>
                  </from>
                  <to>
                    <xdr:col>8</xdr:col>
                    <xdr:colOff>304800</xdr:colOff>
                    <xdr:row>41</xdr:row>
                    <xdr:rowOff>19050</xdr:rowOff>
                  </to>
                </anchor>
              </controlPr>
            </control>
          </mc:Choice>
        </mc:AlternateContent>
        <mc:AlternateContent xmlns:mc="http://schemas.openxmlformats.org/markup-compatibility/2006">
          <mc:Choice Requires="x14">
            <control shapeId="13339" r:id="rId13" name="Check Box 27">
              <controlPr defaultSize="0" autoFill="0" autoLine="0" autoPict="0">
                <anchor moveWithCells="1">
                  <from>
                    <xdr:col>8</xdr:col>
                    <xdr:colOff>0</xdr:colOff>
                    <xdr:row>40</xdr:row>
                    <xdr:rowOff>0</xdr:rowOff>
                  </from>
                  <to>
                    <xdr:col>8</xdr:col>
                    <xdr:colOff>304800</xdr:colOff>
                    <xdr:row>41</xdr:row>
                    <xdr:rowOff>19050</xdr:rowOff>
                  </to>
                </anchor>
              </controlPr>
            </control>
          </mc:Choice>
        </mc:AlternateContent>
        <mc:AlternateContent xmlns:mc="http://schemas.openxmlformats.org/markup-compatibility/2006">
          <mc:Choice Requires="x14">
            <control shapeId="13340" r:id="rId14" name="Check Box 28">
              <controlPr defaultSize="0" autoFill="0" autoLine="0" autoPict="0">
                <anchor moveWithCells="1">
                  <from>
                    <xdr:col>12</xdr:col>
                    <xdr:colOff>0</xdr:colOff>
                    <xdr:row>40</xdr:row>
                    <xdr:rowOff>0</xdr:rowOff>
                  </from>
                  <to>
                    <xdr:col>12</xdr:col>
                    <xdr:colOff>304800</xdr:colOff>
                    <xdr:row>41</xdr:row>
                    <xdr:rowOff>19050</xdr:rowOff>
                  </to>
                </anchor>
              </controlPr>
            </control>
          </mc:Choice>
        </mc:AlternateContent>
        <mc:AlternateContent xmlns:mc="http://schemas.openxmlformats.org/markup-compatibility/2006">
          <mc:Choice Requires="x14">
            <control shapeId="13341" r:id="rId15" name="Check Box 29">
              <controlPr defaultSize="0" autoFill="0" autoLine="0" autoPict="0">
                <anchor moveWithCells="1">
                  <from>
                    <xdr:col>12</xdr:col>
                    <xdr:colOff>0</xdr:colOff>
                    <xdr:row>40</xdr:row>
                    <xdr:rowOff>0</xdr:rowOff>
                  </from>
                  <to>
                    <xdr:col>12</xdr:col>
                    <xdr:colOff>304800</xdr:colOff>
                    <xdr:row>41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election activeCell="B75" sqref="B75"/>
    </sheetView>
  </sheetViews>
  <sheetFormatPr baseColWidth="10" defaultRowHeight="12.75" x14ac:dyDescent="0.2"/>
  <cols>
    <col min="1" max="1" width="4.7109375" customWidth="1"/>
    <col min="2" max="2" width="24.7109375" customWidth="1"/>
    <col min="3" max="3" width="2.7109375" customWidth="1"/>
    <col min="4" max="4" width="24.7109375" customWidth="1"/>
    <col min="5" max="5" width="2.7109375" customWidth="1"/>
    <col min="6" max="6" width="24.7109375" customWidth="1"/>
    <col min="7" max="7" width="2.7109375" customWidth="1"/>
    <col min="8" max="8" width="24.7109375" customWidth="1"/>
  </cols>
  <sheetData>
    <row r="1" spans="1:8" ht="42" customHeight="1" x14ac:dyDescent="0.3">
      <c r="A1" s="1019" t="s">
        <v>277</v>
      </c>
      <c r="B1" s="1197"/>
      <c r="C1" s="1197"/>
      <c r="D1" s="1197"/>
      <c r="E1" s="1197"/>
      <c r="F1" s="1197"/>
      <c r="G1" s="1197"/>
      <c r="H1" s="1223"/>
    </row>
    <row r="2" spans="1:8" ht="12" customHeight="1" x14ac:dyDescent="0.2">
      <c r="A2" s="919" t="str">
        <f>Erklärung!A2</f>
        <v>Version 3.2</v>
      </c>
      <c r="B2" s="920"/>
      <c r="C2" s="424"/>
      <c r="D2" s="721"/>
      <c r="E2" s="721"/>
      <c r="F2" s="597" t="str">
        <f>Erklärung!D2</f>
        <v>Stand: August 2016</v>
      </c>
      <c r="G2" s="721"/>
      <c r="H2" s="921"/>
    </row>
    <row r="3" spans="1:8" ht="6" customHeight="1" x14ac:dyDescent="0.2"/>
    <row r="4" spans="1:8" ht="51" customHeight="1" x14ac:dyDescent="0.2">
      <c r="A4" s="1224" t="s">
        <v>465</v>
      </c>
      <c r="B4" s="1225"/>
      <c r="C4" s="1225"/>
      <c r="D4" s="1225"/>
      <c r="E4" s="1225"/>
      <c r="F4" s="1225"/>
      <c r="G4" s="1225"/>
      <c r="H4" s="1226"/>
    </row>
    <row r="5" spans="1:8" ht="6" customHeight="1" x14ac:dyDescent="0.2">
      <c r="A5" s="254"/>
      <c r="B5" s="922"/>
      <c r="C5" s="922"/>
      <c r="D5" s="922"/>
      <c r="E5" s="922"/>
      <c r="F5" s="922"/>
      <c r="G5" s="922"/>
      <c r="H5" s="922"/>
    </row>
    <row r="6" spans="1:8" ht="24" customHeight="1" x14ac:dyDescent="0.2">
      <c r="A6" s="1104" t="s">
        <v>466</v>
      </c>
      <c r="B6" s="1105"/>
      <c r="C6" s="1105"/>
      <c r="D6" s="1105"/>
      <c r="E6" s="1105"/>
      <c r="F6" s="1105"/>
      <c r="G6" s="1105"/>
      <c r="H6" s="1106"/>
    </row>
    <row r="7" spans="1:8" ht="18" customHeight="1" x14ac:dyDescent="0.2">
      <c r="A7" s="558">
        <v>1</v>
      </c>
      <c r="B7" s="923" t="s">
        <v>467</v>
      </c>
      <c r="C7" s="924"/>
      <c r="D7" s="924"/>
      <c r="E7" s="924"/>
      <c r="F7" s="924"/>
      <c r="G7" s="924"/>
      <c r="H7" s="925"/>
    </row>
    <row r="8" spans="1:8" ht="15" customHeight="1" x14ac:dyDescent="0.2">
      <c r="A8" s="1227" t="s">
        <v>343</v>
      </c>
      <c r="B8" s="1227"/>
      <c r="C8" s="1215" t="s">
        <v>292</v>
      </c>
      <c r="D8" s="1216"/>
      <c r="E8" s="1215" t="s">
        <v>468</v>
      </c>
      <c r="F8" s="1216"/>
      <c r="G8" s="1215" t="s">
        <v>478</v>
      </c>
      <c r="H8" s="1216"/>
    </row>
    <row r="9" spans="1:8" ht="12.75" customHeight="1" x14ac:dyDescent="0.2">
      <c r="A9" s="1217"/>
      <c r="B9" s="1218"/>
      <c r="C9" s="935"/>
      <c r="D9" s="927" t="s">
        <v>469</v>
      </c>
      <c r="E9" s="928"/>
      <c r="F9" s="927" t="s">
        <v>492</v>
      </c>
      <c r="G9" s="928"/>
      <c r="H9" s="926" t="s">
        <v>479</v>
      </c>
    </row>
    <row r="10" spans="1:8" ht="12.75" customHeight="1" x14ac:dyDescent="0.2">
      <c r="A10" s="1219"/>
      <c r="B10" s="1220"/>
      <c r="C10" s="936"/>
      <c r="D10" s="930" t="s">
        <v>471</v>
      </c>
      <c r="E10" s="928"/>
      <c r="F10" s="930" t="s">
        <v>37</v>
      </c>
      <c r="G10" s="928"/>
      <c r="H10" s="929" t="s">
        <v>488</v>
      </c>
    </row>
    <row r="11" spans="1:8" ht="12.75" customHeight="1" x14ac:dyDescent="0.2">
      <c r="A11" s="1219"/>
      <c r="B11" s="1220"/>
      <c r="C11" s="936"/>
      <c r="D11" s="930" t="s">
        <v>472</v>
      </c>
      <c r="E11" s="928"/>
      <c r="F11" s="930" t="s">
        <v>470</v>
      </c>
      <c r="G11" s="928"/>
      <c r="H11" s="262"/>
    </row>
    <row r="12" spans="1:8" ht="12.75" customHeight="1" x14ac:dyDescent="0.2">
      <c r="A12" s="1219"/>
      <c r="B12" s="1220"/>
      <c r="C12" s="936"/>
      <c r="D12" s="931" t="s">
        <v>473</v>
      </c>
      <c r="E12" s="928"/>
      <c r="F12" s="930" t="s">
        <v>482</v>
      </c>
      <c r="G12" s="928"/>
      <c r="H12" s="262"/>
    </row>
    <row r="13" spans="1:8" ht="12.75" customHeight="1" x14ac:dyDescent="0.2">
      <c r="A13" s="1221"/>
      <c r="B13" s="1222"/>
      <c r="C13" s="936"/>
      <c r="D13" s="932"/>
      <c r="E13" s="928"/>
      <c r="F13" s="932"/>
      <c r="G13" s="928"/>
      <c r="H13" s="262"/>
    </row>
    <row r="14" spans="1:8" ht="15" x14ac:dyDescent="0.2">
      <c r="A14" s="940" t="s">
        <v>344</v>
      </c>
      <c r="B14" s="939"/>
      <c r="C14" s="1215" t="s">
        <v>292</v>
      </c>
      <c r="D14" s="1216"/>
      <c r="E14" s="1215" t="s">
        <v>468</v>
      </c>
      <c r="F14" s="1216"/>
      <c r="G14" s="1215" t="s">
        <v>478</v>
      </c>
      <c r="H14" s="1216"/>
    </row>
    <row r="15" spans="1:8" x14ac:dyDescent="0.2">
      <c r="A15" s="440"/>
      <c r="B15" s="937"/>
      <c r="C15" s="928"/>
      <c r="D15" s="937" t="s">
        <v>480</v>
      </c>
      <c r="E15" s="928"/>
      <c r="F15" s="927" t="s">
        <v>483</v>
      </c>
      <c r="G15" s="928"/>
      <c r="H15" s="926" t="s">
        <v>479</v>
      </c>
    </row>
    <row r="16" spans="1:8" x14ac:dyDescent="0.2">
      <c r="A16" s="252"/>
      <c r="B16" s="938"/>
      <c r="C16" s="928"/>
      <c r="D16" s="938" t="s">
        <v>481</v>
      </c>
      <c r="E16" s="928"/>
      <c r="F16" s="938" t="s">
        <v>482</v>
      </c>
      <c r="G16" s="928"/>
      <c r="H16" s="930" t="s">
        <v>488</v>
      </c>
    </row>
    <row r="17" spans="1:8" x14ac:dyDescent="0.2">
      <c r="A17" s="252"/>
      <c r="B17" s="938"/>
      <c r="C17" s="928"/>
      <c r="D17" s="938" t="s">
        <v>485</v>
      </c>
      <c r="E17" s="928"/>
      <c r="F17" s="24"/>
      <c r="G17" s="928"/>
      <c r="H17" s="929" t="s">
        <v>484</v>
      </c>
    </row>
    <row r="18" spans="1:8" x14ac:dyDescent="0.2">
      <c r="A18" s="252"/>
      <c r="B18" s="938"/>
      <c r="C18" s="928"/>
      <c r="D18" s="938" t="s">
        <v>472</v>
      </c>
      <c r="E18" s="928"/>
      <c r="F18" s="24"/>
      <c r="G18" s="928"/>
      <c r="H18" s="262"/>
    </row>
    <row r="19" spans="1:8" x14ac:dyDescent="0.2">
      <c r="A19" s="253"/>
      <c r="B19" s="248"/>
      <c r="C19" s="928"/>
      <c r="D19" s="248"/>
      <c r="E19" s="928"/>
      <c r="F19" s="266"/>
      <c r="G19" s="928"/>
      <c r="H19" s="263"/>
    </row>
    <row r="20" spans="1:8" ht="15" x14ac:dyDescent="0.2">
      <c r="A20" s="941" t="s">
        <v>345</v>
      </c>
      <c r="B20" s="942"/>
      <c r="C20" s="1215" t="s">
        <v>292</v>
      </c>
      <c r="D20" s="1216"/>
      <c r="E20" s="1215" t="s">
        <v>468</v>
      </c>
      <c r="F20" s="1216"/>
      <c r="G20" s="1215" t="s">
        <v>478</v>
      </c>
      <c r="H20" s="1216"/>
    </row>
    <row r="21" spans="1:8" x14ac:dyDescent="0.2">
      <c r="A21" s="440"/>
      <c r="B21" s="938"/>
      <c r="C21" s="928"/>
      <c r="D21" s="463" t="s">
        <v>54</v>
      </c>
      <c r="E21" s="928"/>
      <c r="F21" s="938" t="s">
        <v>486</v>
      </c>
      <c r="G21" s="928"/>
      <c r="H21" s="943" t="s">
        <v>479</v>
      </c>
    </row>
    <row r="22" spans="1:8" x14ac:dyDescent="0.2">
      <c r="A22" s="252"/>
      <c r="B22" s="938"/>
      <c r="C22" s="928"/>
      <c r="D22" s="463" t="s">
        <v>490</v>
      </c>
      <c r="E22" s="928"/>
      <c r="F22" s="938" t="s">
        <v>487</v>
      </c>
      <c r="G22" s="928"/>
      <c r="H22" s="944" t="s">
        <v>488</v>
      </c>
    </row>
    <row r="23" spans="1:8" x14ac:dyDescent="0.2">
      <c r="A23" s="252"/>
      <c r="B23" s="938"/>
      <c r="C23" s="928"/>
      <c r="D23" s="463" t="s">
        <v>472</v>
      </c>
      <c r="E23" s="928"/>
      <c r="F23" s="24"/>
      <c r="G23" s="928"/>
      <c r="H23" s="932"/>
    </row>
    <row r="24" spans="1:8" x14ac:dyDescent="0.2">
      <c r="A24" s="253"/>
      <c r="B24" s="938"/>
      <c r="C24" s="928"/>
      <c r="D24" s="24"/>
      <c r="E24" s="928"/>
      <c r="F24" s="24"/>
      <c r="G24" s="928"/>
      <c r="H24" s="933"/>
    </row>
    <row r="25" spans="1:8" ht="15" x14ac:dyDescent="0.2">
      <c r="A25" s="941" t="s">
        <v>181</v>
      </c>
      <c r="B25" s="942"/>
      <c r="C25" s="1215" t="s">
        <v>292</v>
      </c>
      <c r="D25" s="1216"/>
      <c r="E25" s="1215" t="s">
        <v>468</v>
      </c>
      <c r="F25" s="1216"/>
      <c r="G25" s="1215" t="s">
        <v>478</v>
      </c>
      <c r="H25" s="1216"/>
    </row>
    <row r="26" spans="1:8" x14ac:dyDescent="0.2">
      <c r="A26" s="252"/>
      <c r="B26" s="938"/>
      <c r="C26" s="928"/>
      <c r="D26" s="938" t="s">
        <v>54</v>
      </c>
      <c r="E26" s="928"/>
      <c r="F26" s="938" t="s">
        <v>489</v>
      </c>
      <c r="G26" s="928"/>
      <c r="H26" s="926" t="s">
        <v>479</v>
      </c>
    </row>
    <row r="27" spans="1:8" x14ac:dyDescent="0.2">
      <c r="A27" s="252"/>
      <c r="B27" s="938"/>
      <c r="C27" s="928"/>
      <c r="D27" s="463" t="s">
        <v>490</v>
      </c>
      <c r="E27" s="928"/>
      <c r="F27" s="24"/>
      <c r="G27" s="928"/>
      <c r="H27" s="929" t="s">
        <v>488</v>
      </c>
    </row>
    <row r="28" spans="1:8" x14ac:dyDescent="0.2">
      <c r="A28" s="252"/>
      <c r="B28" s="938"/>
      <c r="C28" s="928"/>
      <c r="D28" s="938" t="s">
        <v>472</v>
      </c>
      <c r="E28" s="928"/>
      <c r="F28" s="24"/>
      <c r="G28" s="928"/>
      <c r="H28" s="262"/>
    </row>
    <row r="29" spans="1:8" x14ac:dyDescent="0.2">
      <c r="A29" s="252"/>
      <c r="B29" s="938"/>
      <c r="C29" s="928"/>
      <c r="D29" s="24"/>
      <c r="E29" s="928"/>
      <c r="F29" s="24"/>
      <c r="G29" s="928"/>
      <c r="H29" s="262"/>
    </row>
    <row r="30" spans="1:8" ht="15" x14ac:dyDescent="0.2">
      <c r="A30" s="941" t="s">
        <v>182</v>
      </c>
      <c r="B30" s="942"/>
      <c r="C30" s="1215" t="s">
        <v>292</v>
      </c>
      <c r="D30" s="1216"/>
      <c r="E30" s="1215" t="s">
        <v>468</v>
      </c>
      <c r="F30" s="1216"/>
      <c r="G30" s="1215" t="s">
        <v>478</v>
      </c>
      <c r="H30" s="1216"/>
    </row>
    <row r="31" spans="1:8" x14ac:dyDescent="0.2">
      <c r="A31" s="252"/>
      <c r="B31" s="938"/>
      <c r="C31" s="928"/>
      <c r="D31" s="938" t="s">
        <v>54</v>
      </c>
      <c r="E31" s="928"/>
      <c r="F31" s="24"/>
      <c r="G31" s="928"/>
      <c r="H31" s="926" t="s">
        <v>479</v>
      </c>
    </row>
    <row r="32" spans="1:8" x14ac:dyDescent="0.2">
      <c r="A32" s="252"/>
      <c r="B32" s="938"/>
      <c r="C32" s="928"/>
      <c r="D32" s="463" t="s">
        <v>490</v>
      </c>
      <c r="E32" s="928"/>
      <c r="F32" s="24"/>
      <c r="G32" s="928"/>
      <c r="H32" s="929" t="s">
        <v>488</v>
      </c>
    </row>
    <row r="33" spans="1:8" x14ac:dyDescent="0.2">
      <c r="A33" s="252"/>
      <c r="B33" s="938"/>
      <c r="C33" s="928"/>
      <c r="D33" s="463" t="s">
        <v>472</v>
      </c>
      <c r="E33" s="928"/>
      <c r="F33" s="24"/>
      <c r="G33" s="928"/>
      <c r="H33" s="262"/>
    </row>
    <row r="34" spans="1:8" x14ac:dyDescent="0.2">
      <c r="A34" s="252"/>
      <c r="B34" s="938"/>
      <c r="C34" s="928"/>
      <c r="D34" s="24"/>
      <c r="E34" s="928"/>
      <c r="F34" s="24"/>
      <c r="G34" s="928"/>
      <c r="H34" s="262"/>
    </row>
    <row r="35" spans="1:8" ht="15" x14ac:dyDescent="0.2">
      <c r="A35" s="941" t="s">
        <v>177</v>
      </c>
      <c r="B35" s="942"/>
      <c r="C35" s="1215" t="s">
        <v>292</v>
      </c>
      <c r="D35" s="1216"/>
      <c r="E35" s="1215" t="s">
        <v>468</v>
      </c>
      <c r="F35" s="1216"/>
      <c r="G35" s="1215" t="s">
        <v>478</v>
      </c>
      <c r="H35" s="1216"/>
    </row>
    <row r="36" spans="1:8" x14ac:dyDescent="0.2">
      <c r="A36" s="252"/>
      <c r="B36" s="938"/>
      <c r="C36" s="928"/>
      <c r="D36" s="938" t="s">
        <v>469</v>
      </c>
      <c r="E36" s="928"/>
      <c r="F36" s="938" t="s">
        <v>492</v>
      </c>
      <c r="G36" s="928"/>
      <c r="H36" s="926" t="s">
        <v>479</v>
      </c>
    </row>
    <row r="37" spans="1:8" x14ac:dyDescent="0.2">
      <c r="A37" s="252"/>
      <c r="B37" s="938"/>
      <c r="C37" s="928"/>
      <c r="D37" s="938" t="s">
        <v>491</v>
      </c>
      <c r="E37" s="928"/>
      <c r="F37" s="938" t="s">
        <v>37</v>
      </c>
      <c r="G37" s="928"/>
      <c r="H37" s="929" t="s">
        <v>488</v>
      </c>
    </row>
    <row r="38" spans="1:8" x14ac:dyDescent="0.2">
      <c r="A38" s="252"/>
      <c r="B38" s="938"/>
      <c r="C38" s="928"/>
      <c r="D38" s="938" t="s">
        <v>471</v>
      </c>
      <c r="E38" s="928"/>
      <c r="F38" s="938" t="s">
        <v>482</v>
      </c>
      <c r="G38" s="928"/>
      <c r="H38" s="262"/>
    </row>
    <row r="39" spans="1:8" x14ac:dyDescent="0.2">
      <c r="A39" s="252"/>
      <c r="B39" s="938"/>
      <c r="C39" s="928"/>
      <c r="D39" s="938" t="s">
        <v>472</v>
      </c>
      <c r="E39" s="928"/>
      <c r="F39" s="24"/>
      <c r="G39" s="928"/>
      <c r="H39" s="262"/>
    </row>
    <row r="40" spans="1:8" x14ac:dyDescent="0.2">
      <c r="A40" s="252"/>
      <c r="B40" s="938"/>
      <c r="C40" s="928"/>
      <c r="D40" s="24"/>
      <c r="E40" s="928"/>
      <c r="F40" s="24"/>
      <c r="G40" s="928"/>
      <c r="H40" s="262"/>
    </row>
    <row r="41" spans="1:8" ht="15" x14ac:dyDescent="0.2">
      <c r="A41" s="941" t="s">
        <v>474</v>
      </c>
      <c r="B41" s="942"/>
      <c r="C41" s="1215" t="s">
        <v>292</v>
      </c>
      <c r="D41" s="1216"/>
      <c r="E41" s="1215" t="s">
        <v>468</v>
      </c>
      <c r="F41" s="1216"/>
      <c r="G41" s="1215" t="s">
        <v>478</v>
      </c>
      <c r="H41" s="1216"/>
    </row>
    <row r="42" spans="1:8" x14ac:dyDescent="0.2">
      <c r="A42" s="252"/>
      <c r="B42" s="938"/>
      <c r="C42" s="928"/>
      <c r="D42" s="938" t="s">
        <v>469</v>
      </c>
      <c r="E42" s="928"/>
      <c r="F42" s="938" t="s">
        <v>492</v>
      </c>
      <c r="G42" s="928"/>
      <c r="H42" s="926" t="s">
        <v>479</v>
      </c>
    </row>
    <row r="43" spans="1:8" x14ac:dyDescent="0.2">
      <c r="A43" s="252"/>
      <c r="B43" s="938"/>
      <c r="C43" s="928"/>
      <c r="D43" s="938" t="s">
        <v>471</v>
      </c>
      <c r="E43" s="928"/>
      <c r="F43" s="938" t="s">
        <v>37</v>
      </c>
      <c r="G43" s="928"/>
      <c r="H43" s="929" t="s">
        <v>488</v>
      </c>
    </row>
    <row r="44" spans="1:8" x14ac:dyDescent="0.2">
      <c r="A44" s="252"/>
      <c r="B44" s="938"/>
      <c r="C44" s="928"/>
      <c r="D44" s="938" t="s">
        <v>472</v>
      </c>
      <c r="E44" s="928"/>
      <c r="F44" s="938" t="s">
        <v>482</v>
      </c>
      <c r="G44" s="928"/>
      <c r="H44" s="262"/>
    </row>
    <row r="45" spans="1:8" x14ac:dyDescent="0.2">
      <c r="A45" s="252"/>
      <c r="B45" s="938"/>
      <c r="C45" s="928"/>
      <c r="D45" s="24"/>
      <c r="E45" s="928"/>
      <c r="F45" s="24"/>
      <c r="G45" s="928"/>
      <c r="H45" s="262"/>
    </row>
    <row r="46" spans="1:8" ht="15" x14ac:dyDescent="0.2">
      <c r="A46" s="941" t="s">
        <v>475</v>
      </c>
      <c r="B46" s="942"/>
      <c r="C46" s="1215" t="s">
        <v>292</v>
      </c>
      <c r="D46" s="1216"/>
      <c r="E46" s="1215" t="s">
        <v>468</v>
      </c>
      <c r="F46" s="1216"/>
      <c r="G46" s="1215" t="s">
        <v>478</v>
      </c>
      <c r="H46" s="1216"/>
    </row>
    <row r="47" spans="1:8" x14ac:dyDescent="0.2">
      <c r="A47" s="252"/>
      <c r="B47" s="938"/>
      <c r="C47" s="928"/>
      <c r="D47" s="938" t="s">
        <v>469</v>
      </c>
      <c r="E47" s="928"/>
      <c r="F47" s="938" t="s">
        <v>492</v>
      </c>
      <c r="G47" s="928"/>
      <c r="H47" s="926" t="s">
        <v>479</v>
      </c>
    </row>
    <row r="48" spans="1:8" x14ac:dyDescent="0.2">
      <c r="A48" s="252"/>
      <c r="B48" s="938"/>
      <c r="C48" s="928"/>
      <c r="D48" s="938" t="s">
        <v>491</v>
      </c>
      <c r="E48" s="928"/>
      <c r="F48" s="938" t="s">
        <v>37</v>
      </c>
      <c r="G48" s="928"/>
      <c r="H48" s="929" t="s">
        <v>488</v>
      </c>
    </row>
    <row r="49" spans="1:8" x14ac:dyDescent="0.2">
      <c r="A49" s="252"/>
      <c r="B49" s="938"/>
      <c r="C49" s="928"/>
      <c r="D49" s="938" t="s">
        <v>471</v>
      </c>
      <c r="E49" s="928"/>
      <c r="F49" s="938" t="s">
        <v>482</v>
      </c>
      <c r="G49" s="928"/>
      <c r="H49" s="262"/>
    </row>
    <row r="50" spans="1:8" x14ac:dyDescent="0.2">
      <c r="A50" s="252"/>
      <c r="B50" s="938"/>
      <c r="C50" s="928"/>
      <c r="D50" s="938" t="s">
        <v>472</v>
      </c>
      <c r="E50" s="928"/>
      <c r="F50" s="24"/>
      <c r="G50" s="928"/>
      <c r="H50" s="262"/>
    </row>
    <row r="51" spans="1:8" x14ac:dyDescent="0.2">
      <c r="A51" s="252"/>
      <c r="B51" s="938"/>
      <c r="C51" s="928"/>
      <c r="D51" s="24"/>
      <c r="E51" s="928"/>
      <c r="F51" s="24"/>
      <c r="G51" s="928"/>
      <c r="H51" s="262"/>
    </row>
    <row r="52" spans="1:8" ht="15" x14ac:dyDescent="0.2">
      <c r="A52" s="941" t="s">
        <v>476</v>
      </c>
      <c r="B52" s="942"/>
      <c r="C52" s="1215" t="s">
        <v>292</v>
      </c>
      <c r="D52" s="1216"/>
      <c r="E52" s="1215" t="s">
        <v>468</v>
      </c>
      <c r="F52" s="1216"/>
      <c r="G52" s="1215" t="s">
        <v>478</v>
      </c>
      <c r="H52" s="1216"/>
    </row>
    <row r="53" spans="1:8" x14ac:dyDescent="0.2">
      <c r="A53" s="252"/>
      <c r="B53" s="938"/>
      <c r="C53" s="928"/>
      <c r="D53" s="938"/>
      <c r="E53" s="928"/>
      <c r="F53" s="938"/>
      <c r="G53" s="928"/>
      <c r="H53" s="926" t="s">
        <v>479</v>
      </c>
    </row>
    <row r="54" spans="1:8" x14ac:dyDescent="0.2">
      <c r="A54" s="252"/>
      <c r="B54" s="463"/>
      <c r="C54" s="928"/>
      <c r="D54" s="938"/>
      <c r="E54" s="928"/>
      <c r="F54" s="938"/>
      <c r="G54" s="928"/>
      <c r="H54" s="929" t="s">
        <v>488</v>
      </c>
    </row>
    <row r="55" spans="1:8" x14ac:dyDescent="0.2">
      <c r="A55" s="252"/>
      <c r="B55" s="463"/>
      <c r="C55" s="928"/>
      <c r="D55" s="938"/>
      <c r="E55" s="928"/>
      <c r="F55" s="938"/>
      <c r="G55" s="928"/>
      <c r="H55" s="262"/>
    </row>
    <row r="56" spans="1:8" x14ac:dyDescent="0.2">
      <c r="A56" s="252"/>
      <c r="B56" s="463"/>
      <c r="C56" s="928"/>
      <c r="D56" s="938"/>
      <c r="E56" s="928"/>
      <c r="F56" s="24"/>
      <c r="G56" s="928"/>
      <c r="H56" s="262"/>
    </row>
    <row r="57" spans="1:8" ht="15" x14ac:dyDescent="0.2">
      <c r="A57" s="941" t="s">
        <v>477</v>
      </c>
      <c r="B57" s="942"/>
      <c r="C57" s="1215" t="s">
        <v>292</v>
      </c>
      <c r="D57" s="1216"/>
      <c r="E57" s="1215" t="s">
        <v>468</v>
      </c>
      <c r="F57" s="1216"/>
      <c r="G57" s="1215" t="s">
        <v>478</v>
      </c>
      <c r="H57" s="1216"/>
    </row>
    <row r="58" spans="1:8" x14ac:dyDescent="0.2">
      <c r="A58" s="252"/>
      <c r="B58" s="463"/>
      <c r="C58" s="928"/>
      <c r="D58" s="938" t="s">
        <v>493</v>
      </c>
      <c r="E58" s="928"/>
      <c r="F58" s="938" t="s">
        <v>483</v>
      </c>
      <c r="G58" s="928"/>
      <c r="H58" s="926" t="s">
        <v>479</v>
      </c>
    </row>
    <row r="59" spans="1:8" x14ac:dyDescent="0.2">
      <c r="A59" s="252"/>
      <c r="B59" s="463"/>
      <c r="C59" s="928"/>
      <c r="D59" s="938" t="s">
        <v>490</v>
      </c>
      <c r="E59" s="928"/>
      <c r="F59" s="938"/>
      <c r="G59" s="928"/>
      <c r="H59" s="929" t="s">
        <v>488</v>
      </c>
    </row>
    <row r="60" spans="1:8" x14ac:dyDescent="0.2">
      <c r="A60" s="252"/>
      <c r="B60" s="463"/>
      <c r="C60" s="928"/>
      <c r="D60" s="938"/>
      <c r="E60" s="928"/>
      <c r="F60" s="938"/>
      <c r="G60" s="928"/>
      <c r="H60" s="262"/>
    </row>
    <row r="61" spans="1:8" ht="15" x14ac:dyDescent="0.2">
      <c r="A61" s="941" t="s">
        <v>461</v>
      </c>
      <c r="B61" s="942"/>
      <c r="C61" s="1215" t="s">
        <v>292</v>
      </c>
      <c r="D61" s="1216"/>
      <c r="E61" s="1215" t="s">
        <v>468</v>
      </c>
      <c r="F61" s="1216"/>
      <c r="G61" s="1215" t="s">
        <v>478</v>
      </c>
      <c r="H61" s="1216"/>
    </row>
    <row r="62" spans="1:8" x14ac:dyDescent="0.2">
      <c r="A62" s="252"/>
      <c r="B62" s="463"/>
      <c r="C62" s="928"/>
      <c r="D62" s="24"/>
      <c r="E62" s="928"/>
      <c r="F62" s="24"/>
      <c r="G62" s="928"/>
      <c r="H62" s="929" t="s">
        <v>479</v>
      </c>
    </row>
    <row r="63" spans="1:8" x14ac:dyDescent="0.2">
      <c r="A63" s="252"/>
      <c r="B63" s="463"/>
      <c r="C63" s="928"/>
      <c r="D63" s="24"/>
      <c r="E63" s="928"/>
      <c r="F63" s="24"/>
      <c r="G63" s="928"/>
      <c r="H63" s="934" t="s">
        <v>488</v>
      </c>
    </row>
    <row r="64" spans="1:8" x14ac:dyDescent="0.2">
      <c r="A64" s="253"/>
      <c r="B64" s="945"/>
      <c r="C64" s="928"/>
      <c r="D64" s="266"/>
      <c r="E64" s="928"/>
      <c r="F64" s="266"/>
      <c r="G64" s="928"/>
      <c r="H64" s="263"/>
    </row>
    <row r="65" spans="2:8" x14ac:dyDescent="0.2">
      <c r="B65" s="463"/>
      <c r="C65" s="24"/>
      <c r="E65" s="24"/>
      <c r="G65" s="24"/>
      <c r="H65" s="24"/>
    </row>
    <row r="66" spans="2:8" x14ac:dyDescent="0.2">
      <c r="B66" s="463"/>
      <c r="C66" s="24"/>
      <c r="E66" s="24"/>
      <c r="G66" s="24"/>
      <c r="H66" s="24"/>
    </row>
    <row r="67" spans="2:8" x14ac:dyDescent="0.2">
      <c r="B67" s="463"/>
      <c r="C67" s="24"/>
      <c r="E67" s="24"/>
      <c r="G67" s="24"/>
      <c r="H67" s="24"/>
    </row>
    <row r="68" spans="2:8" x14ac:dyDescent="0.2">
      <c r="B68" s="463"/>
      <c r="C68" s="24"/>
      <c r="E68" s="24"/>
      <c r="G68" s="24"/>
      <c r="H68" s="24"/>
    </row>
    <row r="69" spans="2:8" x14ac:dyDescent="0.2">
      <c r="B69" s="463"/>
      <c r="C69" s="24"/>
      <c r="E69" s="24"/>
      <c r="G69" s="24"/>
      <c r="H69" s="24"/>
    </row>
    <row r="70" spans="2:8" x14ac:dyDescent="0.2">
      <c r="B70" s="463"/>
      <c r="C70" s="24"/>
      <c r="E70" s="24"/>
      <c r="G70" s="24"/>
      <c r="H70" s="24"/>
    </row>
    <row r="71" spans="2:8" x14ac:dyDescent="0.2">
      <c r="B71" s="463"/>
    </row>
    <row r="72" spans="2:8" x14ac:dyDescent="0.2">
      <c r="B72" s="463"/>
    </row>
    <row r="73" spans="2:8" x14ac:dyDescent="0.2">
      <c r="B73" s="463"/>
    </row>
    <row r="74" spans="2:8" x14ac:dyDescent="0.2">
      <c r="B74" s="463"/>
    </row>
    <row r="75" spans="2:8" x14ac:dyDescent="0.2">
      <c r="B75" s="463"/>
    </row>
  </sheetData>
  <mergeCells count="38">
    <mergeCell ref="A1:H1"/>
    <mergeCell ref="A4:H4"/>
    <mergeCell ref="A6:H6"/>
    <mergeCell ref="A8:B8"/>
    <mergeCell ref="C8:D8"/>
    <mergeCell ref="E8:F8"/>
    <mergeCell ref="G8:H8"/>
    <mergeCell ref="C14:D14"/>
    <mergeCell ref="E14:F14"/>
    <mergeCell ref="G14:H14"/>
    <mergeCell ref="A9:B13"/>
    <mergeCell ref="C20:D20"/>
    <mergeCell ref="E20:F20"/>
    <mergeCell ref="G20:H20"/>
    <mergeCell ref="C25:D25"/>
    <mergeCell ref="E25:F25"/>
    <mergeCell ref="G25:H25"/>
    <mergeCell ref="C30:D30"/>
    <mergeCell ref="E30:F30"/>
    <mergeCell ref="G30:H30"/>
    <mergeCell ref="C35:D35"/>
    <mergeCell ref="E35:F35"/>
    <mergeCell ref="G35:H35"/>
    <mergeCell ref="C41:D41"/>
    <mergeCell ref="E41:F41"/>
    <mergeCell ref="G41:H41"/>
    <mergeCell ref="C46:D46"/>
    <mergeCell ref="E46:F46"/>
    <mergeCell ref="G46:H46"/>
    <mergeCell ref="C61:D61"/>
    <mergeCell ref="E61:F61"/>
    <mergeCell ref="G61:H61"/>
    <mergeCell ref="C52:D52"/>
    <mergeCell ref="E52:F52"/>
    <mergeCell ref="G52:H52"/>
    <mergeCell ref="C57:D57"/>
    <mergeCell ref="E57:F57"/>
    <mergeCell ref="G57:H57"/>
  </mergeCells>
  <pageMargins left="0.70866141732283472" right="0.70866141732283472" top="0.78740157480314965" bottom="0.78740157480314965" header="0.31496062992125984" footer="0.31496062992125984"/>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AW63"/>
  <sheetViews>
    <sheetView showGridLines="0" topLeftCell="A28" workbookViewId="0">
      <selection activeCell="B57" sqref="B57"/>
    </sheetView>
  </sheetViews>
  <sheetFormatPr baseColWidth="10" defaultRowHeight="12.75" x14ac:dyDescent="0.2"/>
  <cols>
    <col min="1" max="1" width="4.5703125" style="93" customWidth="1"/>
    <col min="2" max="2" width="5" style="93" customWidth="1"/>
    <col min="3" max="3" width="25.85546875" style="93" customWidth="1"/>
    <col min="4" max="4" width="25.28515625" style="93" customWidth="1"/>
    <col min="5" max="5" width="3.42578125" style="93" customWidth="1"/>
    <col min="6" max="6" width="25.28515625" style="93" customWidth="1"/>
    <col min="7" max="7" width="3.42578125" style="93" customWidth="1"/>
    <col min="8" max="8" width="25.28515625" style="93" customWidth="1"/>
    <col min="9" max="10" width="11.42578125" style="367" customWidth="1"/>
    <col min="11" max="11" width="28.7109375" style="367" customWidth="1"/>
    <col min="12" max="12" width="11.42578125" style="367" customWidth="1"/>
    <col min="13" max="13" width="28" style="367" customWidth="1"/>
    <col min="14" max="14" width="11.42578125" style="367" customWidth="1"/>
    <col min="15" max="15" width="28.42578125" style="367" customWidth="1"/>
    <col min="16" max="18" width="11.42578125" style="367" customWidth="1"/>
    <col min="19" max="19" width="16.7109375" style="367" customWidth="1"/>
    <col min="20" max="20" width="15.28515625" style="367" customWidth="1"/>
    <col min="21" max="21" width="18.5703125" style="367" customWidth="1"/>
    <col min="22" max="22" width="17.85546875" style="367" customWidth="1"/>
    <col min="23" max="23" width="16.85546875" style="367" customWidth="1"/>
    <col min="24" max="27" width="18.140625" style="367" customWidth="1"/>
    <col min="28" max="28" width="19" style="367" customWidth="1"/>
    <col min="29" max="29" width="17.42578125" style="367" customWidth="1"/>
    <col min="30" max="30" width="19.28515625" style="367" customWidth="1"/>
    <col min="31" max="31" width="14.28515625" style="367" customWidth="1"/>
    <col min="32" max="34" width="11.42578125" style="367" customWidth="1"/>
    <col min="35" max="40" width="11.42578125" style="93" customWidth="1"/>
    <col min="41" max="49" width="11.42578125" style="93"/>
  </cols>
  <sheetData>
    <row r="1" spans="1:16" ht="39" customHeight="1" x14ac:dyDescent="0.25">
      <c r="A1" s="1228" t="s">
        <v>241</v>
      </c>
      <c r="B1" s="1229"/>
      <c r="C1" s="1229"/>
      <c r="D1" s="1229"/>
      <c r="E1" s="1229"/>
      <c r="F1" s="1229"/>
      <c r="G1" s="1229"/>
      <c r="H1" s="1230"/>
    </row>
    <row r="2" spans="1:16" ht="10.5" customHeight="1" x14ac:dyDescent="0.2">
      <c r="A2" s="1258" t="str">
        <f>Erklärung!A2</f>
        <v>Version 3.2</v>
      </c>
      <c r="B2" s="1259"/>
      <c r="C2" s="480"/>
      <c r="D2" s="480"/>
      <c r="E2" s="480"/>
      <c r="F2" s="480"/>
      <c r="G2" s="514" t="str">
        <f>Erklärung!D2</f>
        <v>Stand: August 2016</v>
      </c>
      <c r="H2" s="481"/>
    </row>
    <row r="3" spans="1:16" ht="6" customHeight="1" x14ac:dyDescent="0.2">
      <c r="A3" s="428"/>
      <c r="B3" s="429"/>
      <c r="C3" s="430"/>
      <c r="D3" s="430"/>
      <c r="E3" s="430"/>
      <c r="F3" s="430"/>
      <c r="G3" s="430"/>
      <c r="H3" s="431"/>
    </row>
    <row r="4" spans="1:16" ht="16.5" customHeight="1" x14ac:dyDescent="0.2">
      <c r="A4" s="433" t="s">
        <v>228</v>
      </c>
      <c r="B4" s="434"/>
      <c r="C4" s="1093">
        <f>Basisdaten!C10</f>
        <v>0</v>
      </c>
      <c r="D4" s="1093"/>
      <c r="E4" s="1093"/>
      <c r="F4" s="1093"/>
      <c r="G4" s="1093"/>
      <c r="H4" s="1094"/>
    </row>
    <row r="5" spans="1:16" ht="16.5" customHeight="1" x14ac:dyDescent="0.2">
      <c r="A5" s="435" t="s">
        <v>229</v>
      </c>
      <c r="B5" s="436"/>
      <c r="C5" s="1093">
        <f>Basisdaten!C11</f>
        <v>0</v>
      </c>
      <c r="D5" s="1093"/>
      <c r="E5" s="1093"/>
      <c r="F5" s="1093"/>
      <c r="G5" s="1093"/>
      <c r="H5" s="1094"/>
    </row>
    <row r="6" spans="1:16" ht="16.5" customHeight="1" x14ac:dyDescent="0.2">
      <c r="A6" s="437"/>
      <c r="B6" s="438"/>
      <c r="C6" s="1107">
        <f>Basisdaten!C12</f>
        <v>0</v>
      </c>
      <c r="D6" s="1107"/>
      <c r="E6" s="1107"/>
      <c r="F6" s="1107"/>
      <c r="G6" s="1107"/>
      <c r="H6" s="1108"/>
    </row>
    <row r="7" spans="1:16" ht="6" customHeight="1" x14ac:dyDescent="0.2">
      <c r="A7" s="425"/>
      <c r="B7" s="426"/>
      <c r="C7" s="427"/>
      <c r="D7" s="427"/>
      <c r="E7" s="427"/>
      <c r="F7" s="427"/>
      <c r="G7" s="427"/>
      <c r="H7" s="432"/>
    </row>
    <row r="8" spans="1:16" ht="18.75" customHeight="1" x14ac:dyDescent="0.2">
      <c r="A8" s="279">
        <v>1</v>
      </c>
      <c r="B8" s="1231" t="s">
        <v>171</v>
      </c>
      <c r="C8" s="1232"/>
      <c r="D8" s="1232"/>
      <c r="E8" s="1232"/>
      <c r="F8" s="1232"/>
      <c r="G8" s="1233"/>
      <c r="H8" s="1234"/>
    </row>
    <row r="9" spans="1:16" ht="16.5" customHeight="1" x14ac:dyDescent="0.2">
      <c r="A9" s="280"/>
      <c r="B9" s="48"/>
      <c r="C9" s="281" t="s">
        <v>56</v>
      </c>
      <c r="D9" s="282">
        <f>Basisdaten!D33</f>
        <v>0</v>
      </c>
      <c r="E9" s="48"/>
      <c r="F9" s="283" t="s">
        <v>87</v>
      </c>
      <c r="G9" s="1236">
        <f>Basisdaten!D29</f>
        <v>0</v>
      </c>
      <c r="H9" s="1237"/>
    </row>
    <row r="10" spans="1:16" ht="16.5" customHeight="1" x14ac:dyDescent="0.2">
      <c r="A10" s="161"/>
      <c r="B10" s="138"/>
      <c r="C10" s="137" t="s">
        <v>168</v>
      </c>
      <c r="D10" s="284">
        <v>12.8</v>
      </c>
      <c r="E10" s="48"/>
      <c r="F10" s="285"/>
      <c r="G10" s="60"/>
      <c r="H10" s="61"/>
    </row>
    <row r="11" spans="1:16" ht="7.5" customHeight="1" x14ac:dyDescent="0.2">
      <c r="A11" s="286"/>
      <c r="B11" s="396"/>
      <c r="C11" s="397" t="s">
        <v>29</v>
      </c>
      <c r="D11" s="398"/>
      <c r="E11" s="398" t="str">
        <f>IF(OR(Alternativenprüfung!K45,Alternativenprüfung!L45,Alternativenprüfung!M45)=TRUE,"ja","nein")</f>
        <v>ja</v>
      </c>
      <c r="F11" s="399"/>
      <c r="G11" s="399"/>
      <c r="H11" s="400"/>
      <c r="J11" s="367" t="str">
        <f>IF(OR(Basisdaten!K58,Basisdaten!L58,Basisdaten!M58)=TRUE,"ja","nein")</f>
        <v>nein</v>
      </c>
    </row>
    <row r="12" spans="1:16" ht="16.5" customHeight="1" x14ac:dyDescent="0.2">
      <c r="A12" s="286"/>
      <c r="B12" s="48" t="s">
        <v>169</v>
      </c>
      <c r="C12" s="48"/>
      <c r="D12" s="278"/>
      <c r="E12" s="287"/>
      <c r="F12" s="288">
        <f>(D9+D10)*G9</f>
        <v>0</v>
      </c>
      <c r="G12" s="289"/>
      <c r="H12" s="228"/>
    </row>
    <row r="13" spans="1:16" ht="16.5" customHeight="1" x14ac:dyDescent="0.2">
      <c r="A13" s="286"/>
      <c r="B13" s="188"/>
      <c r="C13" s="188"/>
      <c r="D13" s="188"/>
      <c r="E13" s="188"/>
      <c r="F13" s="188"/>
      <c r="G13" s="290"/>
      <c r="H13" s="291"/>
    </row>
    <row r="14" spans="1:16" ht="19.5" customHeight="1" x14ac:dyDescent="0.2">
      <c r="A14" s="279">
        <v>2</v>
      </c>
      <c r="B14" s="1231" t="s">
        <v>170</v>
      </c>
      <c r="C14" s="1232"/>
      <c r="D14" s="1232"/>
      <c r="E14" s="1232"/>
      <c r="F14" s="1232"/>
      <c r="G14" s="1232"/>
      <c r="H14" s="1235"/>
    </row>
    <row r="15" spans="1:16" ht="16.5" customHeight="1" x14ac:dyDescent="0.2">
      <c r="A15" s="292"/>
      <c r="B15" s="293"/>
      <c r="C15" s="293"/>
      <c r="D15" s="410" t="s">
        <v>173</v>
      </c>
      <c r="E15" s="188"/>
      <c r="F15" s="410" t="s">
        <v>174</v>
      </c>
      <c r="G15" s="188"/>
      <c r="H15" s="294" t="s">
        <v>175</v>
      </c>
      <c r="J15" s="367" t="str">
        <f>IF(J17=1,K16,IF(J17=2,K17,IF(J17=3,K18,IF(J17=4,K19,IF(J17=5,K20,IF(J17=6,K21,IF(J17=7,K22,IF(J17=8,K23,IF(J17=9,K24,IF(J17=10,K25,""))))))))))</f>
        <v>Gas-Brennwerttherme</v>
      </c>
      <c r="L15" s="367" t="str">
        <f>IF(L17=1,M16,IF(L17=2,M17,IF(L17=3,M18,IF(L17=4,M19,IF(L17=5,M20,IF(L17=6,M21,IF(L17=7,M22,IF(L17=8,M23,IF(L17=9,M24,IF(L17=10,M25,""))))))))))</f>
        <v>Pelletsanlage</v>
      </c>
      <c r="N15" s="367" t="str">
        <f>IF(N17=1,O16,IF(N17=2,O17,IF(N17=3,O18,IF(N17=4,O19,IF(N17=5,O20,IF(N17=6,O21,IF(N17=7,O22,IF(N17=8,O23,IF(N17=9,O24,IF(N17=10,O25,""))))))))))</f>
        <v>Wärmepumpe Erdreich</v>
      </c>
      <c r="P15" s="370" t="s">
        <v>219</v>
      </c>
    </row>
    <row r="16" spans="1:16" ht="7.5" customHeight="1" x14ac:dyDescent="0.2">
      <c r="A16" s="286"/>
      <c r="B16" s="188"/>
      <c r="C16" s="188"/>
      <c r="D16" s="188"/>
      <c r="E16" s="188"/>
      <c r="F16" s="188"/>
      <c r="G16" s="188"/>
      <c r="H16" s="228"/>
      <c r="J16" s="371" t="s">
        <v>176</v>
      </c>
      <c r="K16" s="372" t="s">
        <v>231</v>
      </c>
      <c r="L16" s="371" t="s">
        <v>183</v>
      </c>
      <c r="M16" s="372" t="s">
        <v>231</v>
      </c>
      <c r="N16" s="371" t="s">
        <v>184</v>
      </c>
      <c r="O16" s="372" t="s">
        <v>231</v>
      </c>
      <c r="P16" s="367">
        <v>0.9</v>
      </c>
    </row>
    <row r="17" spans="1:31" ht="16.5" customHeight="1" x14ac:dyDescent="0.2">
      <c r="A17" s="295"/>
      <c r="B17" s="188"/>
      <c r="C17" s="188"/>
      <c r="D17" s="188"/>
      <c r="E17" s="188"/>
      <c r="F17" s="188"/>
      <c r="G17" s="188"/>
      <c r="H17" s="228"/>
      <c r="J17" s="356">
        <v>2</v>
      </c>
      <c r="K17" s="373" t="s">
        <v>232</v>
      </c>
      <c r="L17" s="356">
        <v>3</v>
      </c>
      <c r="M17" s="373" t="s">
        <v>232</v>
      </c>
      <c r="N17" s="356">
        <v>8</v>
      </c>
      <c r="O17" s="373" t="s">
        <v>232</v>
      </c>
      <c r="P17" s="367">
        <v>0.95</v>
      </c>
      <c r="R17" s="370" t="s">
        <v>190</v>
      </c>
    </row>
    <row r="18" spans="1:31" ht="7.5" customHeight="1" x14ac:dyDescent="0.2">
      <c r="A18" s="286"/>
      <c r="B18" s="188"/>
      <c r="C18" s="188"/>
      <c r="D18" s="188"/>
      <c r="E18" s="188"/>
      <c r="F18" s="188"/>
      <c r="G18" s="188"/>
      <c r="H18" s="228"/>
      <c r="J18" s="356"/>
      <c r="K18" s="373" t="s">
        <v>233</v>
      </c>
      <c r="L18" s="356"/>
      <c r="M18" s="373" t="s">
        <v>233</v>
      </c>
      <c r="N18" s="356"/>
      <c r="O18" s="373" t="s">
        <v>233</v>
      </c>
      <c r="P18" s="367">
        <v>0.85</v>
      </c>
    </row>
    <row r="19" spans="1:31" ht="16.5" customHeight="1" x14ac:dyDescent="0.2">
      <c r="A19" s="1238" t="s">
        <v>172</v>
      </c>
      <c r="B19" s="1239"/>
      <c r="C19" s="1240"/>
      <c r="D19" s="319">
        <v>8000</v>
      </c>
      <c r="E19" s="188"/>
      <c r="F19" s="319">
        <v>14000</v>
      </c>
      <c r="G19" s="411"/>
      <c r="H19" s="320">
        <v>10000</v>
      </c>
      <c r="J19" s="356"/>
      <c r="K19" s="373" t="s">
        <v>234</v>
      </c>
      <c r="L19" s="356"/>
      <c r="M19" s="373" t="s">
        <v>234</v>
      </c>
      <c r="N19" s="356"/>
      <c r="O19" s="373" t="s">
        <v>234</v>
      </c>
      <c r="P19" s="367">
        <v>0.82</v>
      </c>
      <c r="R19" s="1243" t="s">
        <v>191</v>
      </c>
      <c r="S19" s="1243" t="s">
        <v>192</v>
      </c>
      <c r="T19" s="1243" t="s">
        <v>193</v>
      </c>
      <c r="U19" s="1243" t="s">
        <v>194</v>
      </c>
      <c r="V19" s="1243" t="s">
        <v>195</v>
      </c>
      <c r="W19" s="1243" t="s">
        <v>196</v>
      </c>
      <c r="X19" s="1243" t="s">
        <v>197</v>
      </c>
      <c r="Y19" s="1243" t="s">
        <v>202</v>
      </c>
      <c r="Z19" s="1243" t="s">
        <v>203</v>
      </c>
      <c r="AA19" s="1243" t="s">
        <v>204</v>
      </c>
      <c r="AB19" s="1244" t="s">
        <v>198</v>
      </c>
      <c r="AC19" s="1244" t="s">
        <v>199</v>
      </c>
      <c r="AD19" s="1244" t="s">
        <v>200</v>
      </c>
      <c r="AE19" s="1244" t="s">
        <v>201</v>
      </c>
    </row>
    <row r="20" spans="1:31" ht="39.75" customHeight="1" x14ac:dyDescent="0.2">
      <c r="A20" s="1245" t="s">
        <v>185</v>
      </c>
      <c r="B20" s="1246"/>
      <c r="C20" s="1246"/>
      <c r="D20" s="319">
        <v>3000</v>
      </c>
      <c r="E20" s="188"/>
      <c r="F20" s="319">
        <v>8000</v>
      </c>
      <c r="G20" s="188"/>
      <c r="H20" s="320">
        <v>15000</v>
      </c>
      <c r="J20" s="356"/>
      <c r="K20" s="373" t="s">
        <v>178</v>
      </c>
      <c r="L20" s="356"/>
      <c r="M20" s="373" t="s">
        <v>178</v>
      </c>
      <c r="N20" s="356"/>
      <c r="O20" s="373" t="s">
        <v>178</v>
      </c>
      <c r="P20" s="367">
        <v>0.8</v>
      </c>
      <c r="R20" s="1244"/>
      <c r="S20" s="1244"/>
      <c r="T20" s="1244"/>
      <c r="U20" s="1244"/>
      <c r="V20" s="1244"/>
      <c r="W20" s="1244"/>
      <c r="X20" s="1244"/>
      <c r="Y20" s="1244"/>
      <c r="Z20" s="1244"/>
      <c r="AA20" s="1244"/>
      <c r="AB20" s="1244"/>
      <c r="AC20" s="1244"/>
      <c r="AD20" s="1244"/>
      <c r="AE20" s="1244"/>
    </row>
    <row r="21" spans="1:31" ht="16.5" customHeight="1" x14ac:dyDescent="0.2">
      <c r="A21" s="1238" t="s">
        <v>187</v>
      </c>
      <c r="B21" s="1246"/>
      <c r="C21" s="1246"/>
      <c r="D21" s="319"/>
      <c r="E21" s="188"/>
      <c r="F21" s="319">
        <v>2640</v>
      </c>
      <c r="G21" s="188"/>
      <c r="H21" s="320">
        <v>1750</v>
      </c>
      <c r="J21" s="356"/>
      <c r="K21" s="373" t="s">
        <v>179</v>
      </c>
      <c r="L21" s="356"/>
      <c r="M21" s="373" t="s">
        <v>179</v>
      </c>
      <c r="N21" s="356"/>
      <c r="O21" s="373" t="s">
        <v>179</v>
      </c>
      <c r="P21" s="367">
        <v>0.85</v>
      </c>
      <c r="R21" s="375">
        <v>1</v>
      </c>
      <c r="S21" s="376">
        <f>PMT(N30,N29,D27,0,0)*-1</f>
        <v>11000</v>
      </c>
      <c r="T21" s="376">
        <f>D42</f>
        <v>160</v>
      </c>
      <c r="U21" s="377">
        <f>S21+T21</f>
        <v>11160</v>
      </c>
      <c r="V21" s="376">
        <f>PMT(N30,N29,F27,0,0)*-1</f>
        <v>19360</v>
      </c>
      <c r="W21" s="376">
        <f>F42</f>
        <v>280</v>
      </c>
      <c r="X21" s="377">
        <f>V21+W21</f>
        <v>19640</v>
      </c>
      <c r="Y21" s="376">
        <f>PMT(N30,N29,H27,0,0)*-1</f>
        <v>23250</v>
      </c>
      <c r="Z21" s="376">
        <f>H42</f>
        <v>389</v>
      </c>
      <c r="AA21" s="376">
        <f>Y21+Z21</f>
        <v>23639</v>
      </c>
      <c r="AB21" s="375"/>
      <c r="AC21" s="375"/>
      <c r="AD21" s="375"/>
      <c r="AE21" s="375"/>
    </row>
    <row r="22" spans="1:31" ht="16.5" customHeight="1" x14ac:dyDescent="0.2">
      <c r="A22" s="1238" t="s">
        <v>186</v>
      </c>
      <c r="B22" s="1246"/>
      <c r="C22" s="1246"/>
      <c r="D22" s="319"/>
      <c r="E22" s="188"/>
      <c r="F22" s="319"/>
      <c r="G22" s="188"/>
      <c r="H22" s="320"/>
      <c r="J22" s="356"/>
      <c r="K22" s="373" t="s">
        <v>180</v>
      </c>
      <c r="L22" s="356"/>
      <c r="M22" s="373" t="s">
        <v>180</v>
      </c>
      <c r="N22" s="356"/>
      <c r="O22" s="373" t="s">
        <v>180</v>
      </c>
      <c r="P22" s="367">
        <v>1</v>
      </c>
      <c r="R22" s="378">
        <v>2</v>
      </c>
      <c r="S22" s="379">
        <f>IF(R22&lt;=$N$29,S21,0)</f>
        <v>0</v>
      </c>
      <c r="T22" s="379">
        <f t="shared" ref="T22:T40" si="0">T21+T21*$D$46</f>
        <v>164.8</v>
      </c>
      <c r="U22" s="379">
        <f t="shared" ref="U22:U33" si="1">S22+T22</f>
        <v>164.8</v>
      </c>
      <c r="V22" s="379">
        <f>IF(R22&lt;=$N$29,V21,0)</f>
        <v>0</v>
      </c>
      <c r="W22" s="379">
        <f t="shared" ref="W22:W40" si="2">W21+W21*$F$46</f>
        <v>288.39999999999998</v>
      </c>
      <c r="X22" s="380">
        <f t="shared" ref="X22:X33" si="3">V22+W22</f>
        <v>288.39999999999998</v>
      </c>
      <c r="Y22" s="379">
        <f>IF(R22&lt;=$N$29,Y21,0)</f>
        <v>0</v>
      </c>
      <c r="Z22" s="379">
        <f t="shared" ref="Z22:Z40" si="4">Z21+Z21*$H$46</f>
        <v>400.67</v>
      </c>
      <c r="AA22" s="379">
        <f>Y22+Z22</f>
        <v>400.67</v>
      </c>
      <c r="AB22" s="378"/>
      <c r="AC22" s="378"/>
      <c r="AD22" s="378"/>
      <c r="AE22" s="378"/>
    </row>
    <row r="23" spans="1:31" ht="4.5" customHeight="1" x14ac:dyDescent="0.2">
      <c r="A23" s="286"/>
      <c r="B23" s="188"/>
      <c r="C23" s="188"/>
      <c r="D23" s="188"/>
      <c r="E23" s="188"/>
      <c r="F23" s="188"/>
      <c r="G23" s="188"/>
      <c r="H23" s="228"/>
      <c r="J23" s="356"/>
      <c r="K23" s="373" t="s">
        <v>235</v>
      </c>
      <c r="L23" s="356"/>
      <c r="M23" s="373" t="s">
        <v>235</v>
      </c>
      <c r="N23" s="356"/>
      <c r="O23" s="373" t="s">
        <v>235</v>
      </c>
      <c r="P23" s="367">
        <v>3.5</v>
      </c>
      <c r="R23" s="378">
        <v>3</v>
      </c>
      <c r="S23" s="379">
        <f t="shared" ref="S23:S33" si="5">IF(R23&lt;=$N$29,S22,0)</f>
        <v>0</v>
      </c>
      <c r="T23" s="379">
        <f t="shared" si="0"/>
        <v>169.744</v>
      </c>
      <c r="U23" s="381">
        <f t="shared" si="1"/>
        <v>169.744</v>
      </c>
      <c r="V23" s="379">
        <f t="shared" ref="V23:V33" si="6">IF(R23&lt;=$N$29,V22,0)</f>
        <v>0</v>
      </c>
      <c r="W23" s="379">
        <f t="shared" si="2"/>
        <v>297.05199999999996</v>
      </c>
      <c r="X23" s="380">
        <f t="shared" si="3"/>
        <v>297.05199999999996</v>
      </c>
      <c r="Y23" s="379">
        <f t="shared" ref="Y23:Y33" si="7">IF(R23&lt;=$N$29,Y22,0)</f>
        <v>0</v>
      </c>
      <c r="Z23" s="379">
        <f t="shared" si="4"/>
        <v>412.69010000000003</v>
      </c>
      <c r="AA23" s="379">
        <f t="shared" ref="AA23:AA33" si="8">Y23+Z23</f>
        <v>412.69010000000003</v>
      </c>
      <c r="AB23" s="378"/>
      <c r="AC23" s="378"/>
      <c r="AD23" s="378"/>
      <c r="AE23" s="378"/>
    </row>
    <row r="24" spans="1:31" ht="18" customHeight="1" x14ac:dyDescent="0.25">
      <c r="A24" s="1247" t="s">
        <v>214</v>
      </c>
      <c r="B24" s="994"/>
      <c r="C24" s="994"/>
      <c r="D24" s="296">
        <f>IF(J17=11,"",D19+D20-D21-D22)</f>
        <v>11000</v>
      </c>
      <c r="E24" s="188"/>
      <c r="F24" s="296">
        <f>IF(L17=11,"",F19+F20-F21-F22)</f>
        <v>19360</v>
      </c>
      <c r="G24" s="188"/>
      <c r="H24" s="296">
        <f>IF(N17=11,"",H19+H20-H21-H22)</f>
        <v>23250</v>
      </c>
      <c r="J24" s="356"/>
      <c r="K24" s="373" t="s">
        <v>181</v>
      </c>
      <c r="L24" s="356"/>
      <c r="M24" s="373" t="s">
        <v>181</v>
      </c>
      <c r="N24" s="356"/>
      <c r="O24" s="373" t="s">
        <v>181</v>
      </c>
      <c r="P24" s="367">
        <v>3.3</v>
      </c>
      <c r="R24" s="378">
        <v>4</v>
      </c>
      <c r="S24" s="379">
        <f t="shared" si="5"/>
        <v>0</v>
      </c>
      <c r="T24" s="379">
        <f t="shared" si="0"/>
        <v>174.83632</v>
      </c>
      <c r="U24" s="380">
        <f t="shared" si="1"/>
        <v>174.83632</v>
      </c>
      <c r="V24" s="379">
        <f t="shared" si="6"/>
        <v>0</v>
      </c>
      <c r="W24" s="379">
        <f t="shared" si="2"/>
        <v>305.96355999999997</v>
      </c>
      <c r="X24" s="380">
        <f t="shared" si="3"/>
        <v>305.96355999999997</v>
      </c>
      <c r="Y24" s="379">
        <f t="shared" si="7"/>
        <v>0</v>
      </c>
      <c r="Z24" s="379">
        <f t="shared" si="4"/>
        <v>425.07080300000001</v>
      </c>
      <c r="AA24" s="379">
        <f t="shared" si="8"/>
        <v>425.07080300000001</v>
      </c>
      <c r="AB24" s="378"/>
      <c r="AC24" s="378"/>
      <c r="AD24" s="378"/>
      <c r="AE24" s="378"/>
    </row>
    <row r="25" spans="1:31" ht="7.5" customHeight="1" x14ac:dyDescent="0.2">
      <c r="A25" s="286"/>
      <c r="B25" s="188"/>
      <c r="C25" s="188"/>
      <c r="D25" s="188"/>
      <c r="E25" s="188"/>
      <c r="F25" s="188"/>
      <c r="G25" s="188"/>
      <c r="H25" s="291"/>
      <c r="J25" s="356"/>
      <c r="K25" s="373" t="s">
        <v>182</v>
      </c>
      <c r="L25" s="356"/>
      <c r="M25" s="373" t="s">
        <v>182</v>
      </c>
      <c r="N25" s="356"/>
      <c r="O25" s="373" t="s">
        <v>182</v>
      </c>
      <c r="P25" s="367">
        <v>2.7</v>
      </c>
      <c r="R25" s="378">
        <v>5</v>
      </c>
      <c r="S25" s="379">
        <f t="shared" si="5"/>
        <v>0</v>
      </c>
      <c r="T25" s="379">
        <f t="shared" si="0"/>
        <v>180.0814096</v>
      </c>
      <c r="U25" s="380">
        <f t="shared" si="1"/>
        <v>180.0814096</v>
      </c>
      <c r="V25" s="379">
        <f t="shared" si="6"/>
        <v>0</v>
      </c>
      <c r="W25" s="379">
        <f t="shared" si="2"/>
        <v>315.14246679999997</v>
      </c>
      <c r="X25" s="379">
        <f t="shared" si="3"/>
        <v>315.14246679999997</v>
      </c>
      <c r="Y25" s="379">
        <f t="shared" si="7"/>
        <v>0</v>
      </c>
      <c r="Z25" s="379">
        <f t="shared" si="4"/>
        <v>437.82292709000001</v>
      </c>
      <c r="AA25" s="379">
        <f t="shared" si="8"/>
        <v>437.82292709000001</v>
      </c>
      <c r="AB25" s="378"/>
      <c r="AC25" s="378"/>
      <c r="AD25" s="378"/>
      <c r="AE25" s="378"/>
    </row>
    <row r="26" spans="1:31" ht="19.5" customHeight="1" x14ac:dyDescent="0.2">
      <c r="A26" s="279">
        <v>3</v>
      </c>
      <c r="B26" s="1231" t="s">
        <v>189</v>
      </c>
      <c r="C26" s="1232"/>
      <c r="D26" s="1232"/>
      <c r="E26" s="1232"/>
      <c r="F26" s="1232"/>
      <c r="G26" s="1232"/>
      <c r="H26" s="1235"/>
      <c r="J26" s="382"/>
      <c r="K26" s="383"/>
      <c r="L26" s="382"/>
      <c r="M26" s="384"/>
      <c r="N26" s="382"/>
      <c r="O26" s="383"/>
      <c r="R26" s="378">
        <v>6</v>
      </c>
      <c r="S26" s="379">
        <f t="shared" si="5"/>
        <v>0</v>
      </c>
      <c r="T26" s="379">
        <f t="shared" si="0"/>
        <v>185.483851888</v>
      </c>
      <c r="U26" s="380">
        <f t="shared" si="1"/>
        <v>185.483851888</v>
      </c>
      <c r="V26" s="379">
        <f t="shared" si="6"/>
        <v>0</v>
      </c>
      <c r="W26" s="379">
        <f t="shared" si="2"/>
        <v>324.59674080399998</v>
      </c>
      <c r="X26" s="379">
        <f t="shared" si="3"/>
        <v>324.59674080399998</v>
      </c>
      <c r="Y26" s="379">
        <f t="shared" si="7"/>
        <v>0</v>
      </c>
      <c r="Z26" s="379">
        <f t="shared" si="4"/>
        <v>450.95761490270002</v>
      </c>
      <c r="AA26" s="379">
        <f t="shared" si="8"/>
        <v>450.95761490270002</v>
      </c>
      <c r="AB26" s="378"/>
      <c r="AC26" s="378"/>
      <c r="AD26" s="378"/>
      <c r="AE26" s="378"/>
    </row>
    <row r="27" spans="1:31" ht="16.5" customHeight="1" x14ac:dyDescent="0.2">
      <c r="A27" s="1241" t="s">
        <v>205</v>
      </c>
      <c r="B27" s="1242"/>
      <c r="C27" s="1242"/>
      <c r="D27" s="411">
        <f>D24</f>
        <v>11000</v>
      </c>
      <c r="E27" s="188"/>
      <c r="F27" s="411">
        <f>F24</f>
        <v>19360</v>
      </c>
      <c r="G27" s="188"/>
      <c r="H27" s="297">
        <f>H24</f>
        <v>23250</v>
      </c>
      <c r="J27" s="371" t="s">
        <v>209</v>
      </c>
      <c r="K27" s="372" t="s">
        <v>210</v>
      </c>
      <c r="R27" s="378">
        <v>7</v>
      </c>
      <c r="S27" s="379">
        <f t="shared" si="5"/>
        <v>0</v>
      </c>
      <c r="T27" s="379">
        <f t="shared" si="0"/>
        <v>191.04836744464001</v>
      </c>
      <c r="U27" s="380">
        <f t="shared" si="1"/>
        <v>191.04836744464001</v>
      </c>
      <c r="V27" s="379">
        <f t="shared" si="6"/>
        <v>0</v>
      </c>
      <c r="W27" s="379">
        <f t="shared" si="2"/>
        <v>334.33464302811996</v>
      </c>
      <c r="X27" s="381">
        <f t="shared" si="3"/>
        <v>334.33464302811996</v>
      </c>
      <c r="Y27" s="379">
        <f t="shared" si="7"/>
        <v>0</v>
      </c>
      <c r="Z27" s="379">
        <f t="shared" si="4"/>
        <v>464.48634334978101</v>
      </c>
      <c r="AA27" s="379">
        <f t="shared" si="8"/>
        <v>464.48634334978101</v>
      </c>
      <c r="AB27" s="378"/>
      <c r="AC27" s="378"/>
      <c r="AD27" s="378"/>
      <c r="AE27" s="378"/>
    </row>
    <row r="28" spans="1:31" ht="7.5" customHeight="1" x14ac:dyDescent="0.2">
      <c r="A28" s="309"/>
      <c r="B28" s="305"/>
      <c r="C28" s="305"/>
      <c r="D28" s="411"/>
      <c r="E28" s="188"/>
      <c r="F28" s="411"/>
      <c r="G28" s="188"/>
      <c r="H28" s="298"/>
      <c r="J28" s="356">
        <v>1</v>
      </c>
      <c r="K28" s="373" t="s">
        <v>211</v>
      </c>
      <c r="R28" s="378">
        <v>8</v>
      </c>
      <c r="S28" s="379">
        <f t="shared" si="5"/>
        <v>0</v>
      </c>
      <c r="T28" s="379">
        <f t="shared" si="0"/>
        <v>196.7798184679792</v>
      </c>
      <c r="U28" s="380">
        <f t="shared" si="1"/>
        <v>196.7798184679792</v>
      </c>
      <c r="V28" s="379">
        <f t="shared" si="6"/>
        <v>0</v>
      </c>
      <c r="W28" s="379">
        <f t="shared" si="2"/>
        <v>344.36468231896356</v>
      </c>
      <c r="X28" s="380">
        <f t="shared" si="3"/>
        <v>344.36468231896356</v>
      </c>
      <c r="Y28" s="379">
        <f t="shared" si="7"/>
        <v>0</v>
      </c>
      <c r="Z28" s="379">
        <f t="shared" si="4"/>
        <v>478.42093365027443</v>
      </c>
      <c r="AA28" s="379">
        <f t="shared" si="8"/>
        <v>478.42093365027443</v>
      </c>
      <c r="AB28" s="378"/>
      <c r="AC28" s="378"/>
      <c r="AD28" s="378"/>
      <c r="AE28" s="378"/>
    </row>
    <row r="29" spans="1:31" ht="16.5" customHeight="1" x14ac:dyDescent="0.2">
      <c r="A29" s="1238" t="s">
        <v>206</v>
      </c>
      <c r="B29" s="1246"/>
      <c r="C29" s="1246"/>
      <c r="E29" s="188"/>
      <c r="F29" s="188"/>
      <c r="G29" s="188"/>
      <c r="H29" s="228"/>
      <c r="J29" s="382"/>
      <c r="K29" s="482" t="s">
        <v>34</v>
      </c>
      <c r="M29" s="371" t="s">
        <v>212</v>
      </c>
      <c r="N29" s="385">
        <f>IF(J28=1,1,E31)</f>
        <v>1</v>
      </c>
      <c r="R29" s="378">
        <v>9</v>
      </c>
      <c r="S29" s="379">
        <f t="shared" si="5"/>
        <v>0</v>
      </c>
      <c r="T29" s="379">
        <f t="shared" si="0"/>
        <v>202.68321302201858</v>
      </c>
      <c r="U29" s="380">
        <f t="shared" si="1"/>
        <v>202.68321302201858</v>
      </c>
      <c r="V29" s="379">
        <f t="shared" si="6"/>
        <v>0</v>
      </c>
      <c r="W29" s="379">
        <f t="shared" si="2"/>
        <v>354.69562278853249</v>
      </c>
      <c r="X29" s="379">
        <f t="shared" si="3"/>
        <v>354.69562278853249</v>
      </c>
      <c r="Y29" s="379">
        <f t="shared" si="7"/>
        <v>0</v>
      </c>
      <c r="Z29" s="379">
        <f t="shared" si="4"/>
        <v>492.77356165978267</v>
      </c>
      <c r="AA29" s="379">
        <f t="shared" si="8"/>
        <v>492.77356165978267</v>
      </c>
      <c r="AB29" s="378"/>
      <c r="AC29" s="378"/>
      <c r="AD29" s="378"/>
      <c r="AE29" s="378"/>
    </row>
    <row r="30" spans="1:31" ht="16.5" customHeight="1" x14ac:dyDescent="0.2">
      <c r="A30" s="1238" t="s">
        <v>207</v>
      </c>
      <c r="B30" s="1246"/>
      <c r="C30" s="1246"/>
      <c r="D30" s="188"/>
      <c r="E30" s="1248"/>
      <c r="F30" s="1249"/>
      <c r="G30" s="1250"/>
      <c r="H30" s="228"/>
      <c r="M30" s="386" t="s">
        <v>216</v>
      </c>
      <c r="N30" s="383">
        <f>IF(J28=1,0,E30)</f>
        <v>0</v>
      </c>
      <c r="R30" s="378">
        <v>10</v>
      </c>
      <c r="S30" s="379">
        <f t="shared" si="5"/>
        <v>0</v>
      </c>
      <c r="T30" s="379">
        <f t="shared" si="0"/>
        <v>208.76370941267913</v>
      </c>
      <c r="U30" s="379">
        <f t="shared" si="1"/>
        <v>208.76370941267913</v>
      </c>
      <c r="V30" s="379">
        <f t="shared" si="6"/>
        <v>0</v>
      </c>
      <c r="W30" s="379">
        <f t="shared" si="2"/>
        <v>365.33649147218847</v>
      </c>
      <c r="X30" s="381">
        <f t="shared" si="3"/>
        <v>365.33649147218847</v>
      </c>
      <c r="Y30" s="379">
        <f t="shared" si="7"/>
        <v>0</v>
      </c>
      <c r="Z30" s="379">
        <f t="shared" si="4"/>
        <v>507.55676850957616</v>
      </c>
      <c r="AA30" s="379">
        <f t="shared" si="8"/>
        <v>507.55676850957616</v>
      </c>
      <c r="AB30" s="378"/>
      <c r="AC30" s="378"/>
      <c r="AD30" s="378"/>
      <c r="AE30" s="378"/>
    </row>
    <row r="31" spans="1:31" ht="28.5" customHeight="1" x14ac:dyDescent="0.2">
      <c r="A31" s="1245" t="s">
        <v>208</v>
      </c>
      <c r="B31" s="1261"/>
      <c r="C31" s="1261"/>
      <c r="D31" s="188"/>
      <c r="E31" s="1251"/>
      <c r="F31" s="1252"/>
      <c r="G31" s="1253"/>
      <c r="H31" s="228"/>
      <c r="R31" s="378">
        <v>11</v>
      </c>
      <c r="S31" s="379">
        <f t="shared" si="5"/>
        <v>0</v>
      </c>
      <c r="T31" s="379">
        <f t="shared" si="0"/>
        <v>215.02662069505951</v>
      </c>
      <c r="U31" s="381">
        <f t="shared" si="1"/>
        <v>215.02662069505951</v>
      </c>
      <c r="V31" s="379">
        <f t="shared" si="6"/>
        <v>0</v>
      </c>
      <c r="W31" s="379">
        <f t="shared" si="2"/>
        <v>376.29658621635411</v>
      </c>
      <c r="X31" s="379">
        <f t="shared" si="3"/>
        <v>376.29658621635411</v>
      </c>
      <c r="Y31" s="379">
        <f t="shared" si="7"/>
        <v>0</v>
      </c>
      <c r="Z31" s="379">
        <f t="shared" si="4"/>
        <v>522.78347156486348</v>
      </c>
      <c r="AA31" s="379">
        <f t="shared" si="8"/>
        <v>522.78347156486348</v>
      </c>
      <c r="AB31" s="378"/>
      <c r="AC31" s="378"/>
      <c r="AD31" s="378"/>
      <c r="AE31" s="378"/>
    </row>
    <row r="32" spans="1:31" ht="7.5" customHeight="1" x14ac:dyDescent="0.2">
      <c r="A32" s="286"/>
      <c r="B32" s="188"/>
      <c r="C32" s="188"/>
      <c r="D32" s="188"/>
      <c r="E32" s="188"/>
      <c r="F32" s="188"/>
      <c r="G32" s="188"/>
      <c r="H32" s="228"/>
      <c r="R32" s="378">
        <v>12</v>
      </c>
      <c r="S32" s="379">
        <f t="shared" si="5"/>
        <v>0</v>
      </c>
      <c r="T32" s="379">
        <f t="shared" si="0"/>
        <v>221.47741931591128</v>
      </c>
      <c r="U32" s="380">
        <f t="shared" si="1"/>
        <v>221.47741931591128</v>
      </c>
      <c r="V32" s="379">
        <f t="shared" si="6"/>
        <v>0</v>
      </c>
      <c r="W32" s="379">
        <f t="shared" si="2"/>
        <v>387.58548380284475</v>
      </c>
      <c r="X32" s="381">
        <f t="shared" si="3"/>
        <v>387.58548380284475</v>
      </c>
      <c r="Y32" s="379">
        <f t="shared" si="7"/>
        <v>0</v>
      </c>
      <c r="Z32" s="379">
        <f t="shared" si="4"/>
        <v>538.46697571180937</v>
      </c>
      <c r="AA32" s="379">
        <f t="shared" si="8"/>
        <v>538.46697571180937</v>
      </c>
      <c r="AB32" s="378"/>
      <c r="AC32" s="378"/>
      <c r="AD32" s="378"/>
      <c r="AE32" s="378"/>
    </row>
    <row r="33" spans="1:31" ht="19.5" customHeight="1" x14ac:dyDescent="0.2">
      <c r="A33" s="299">
        <v>4</v>
      </c>
      <c r="B33" s="1262" t="s">
        <v>188</v>
      </c>
      <c r="C33" s="1232"/>
      <c r="D33" s="1232"/>
      <c r="E33" s="1232"/>
      <c r="F33" s="1232"/>
      <c r="G33" s="1232"/>
      <c r="H33" s="1235"/>
      <c r="R33" s="378">
        <v>13</v>
      </c>
      <c r="S33" s="379">
        <f t="shared" si="5"/>
        <v>0</v>
      </c>
      <c r="T33" s="379">
        <f t="shared" si="0"/>
        <v>228.12174189538862</v>
      </c>
      <c r="U33" s="379">
        <f t="shared" si="1"/>
        <v>228.12174189538862</v>
      </c>
      <c r="V33" s="379">
        <f t="shared" si="6"/>
        <v>0</v>
      </c>
      <c r="W33" s="379">
        <f t="shared" si="2"/>
        <v>399.2130483169301</v>
      </c>
      <c r="X33" s="380">
        <f t="shared" si="3"/>
        <v>399.2130483169301</v>
      </c>
      <c r="Y33" s="379">
        <f t="shared" si="7"/>
        <v>0</v>
      </c>
      <c r="Z33" s="379">
        <f t="shared" si="4"/>
        <v>554.62098498316368</v>
      </c>
      <c r="AA33" s="379">
        <f t="shared" si="8"/>
        <v>554.62098498316368</v>
      </c>
      <c r="AB33" s="378"/>
      <c r="AC33" s="378"/>
      <c r="AD33" s="378"/>
      <c r="AE33" s="378"/>
    </row>
    <row r="34" spans="1:31" ht="16.5" customHeight="1" x14ac:dyDescent="0.2">
      <c r="A34" s="324"/>
      <c r="B34" s="300"/>
      <c r="C34" s="301"/>
      <c r="D34" s="410" t="str">
        <f>J15</f>
        <v>Gas-Brennwerttherme</v>
      </c>
      <c r="E34" s="301"/>
      <c r="F34" s="410" t="str">
        <f>L15</f>
        <v>Pelletsanlage</v>
      </c>
      <c r="G34" s="301"/>
      <c r="H34" s="294" t="str">
        <f>N15</f>
        <v>Wärmepumpe Erdreich</v>
      </c>
      <c r="R34" s="378">
        <v>14</v>
      </c>
      <c r="S34" s="379">
        <f t="shared" ref="S34:S40" si="9">IF(R34&lt;=$N$29,S33,0)</f>
        <v>0</v>
      </c>
      <c r="T34" s="379">
        <f t="shared" si="0"/>
        <v>234.96539415225027</v>
      </c>
      <c r="U34" s="379">
        <f t="shared" ref="U34:U40" si="10">S34+T34</f>
        <v>234.96539415225027</v>
      </c>
      <c r="V34" s="379">
        <f t="shared" ref="V34:V40" si="11">IF(R34&lt;=$N$29,V33,0)</f>
        <v>0</v>
      </c>
      <c r="W34" s="379">
        <f t="shared" si="2"/>
        <v>411.189439766438</v>
      </c>
      <c r="X34" s="380">
        <f t="shared" ref="X34:X40" si="12">V34+W34</f>
        <v>411.189439766438</v>
      </c>
      <c r="Y34" s="379">
        <f t="shared" ref="Y34:Y40" si="13">IF(R34&lt;=$N$29,Y33,0)</f>
        <v>0</v>
      </c>
      <c r="Z34" s="379">
        <f t="shared" si="4"/>
        <v>571.25961453265859</v>
      </c>
      <c r="AA34" s="379">
        <f t="shared" ref="AA34:AA40" si="14">Y34+Z34</f>
        <v>571.25961453265859</v>
      </c>
      <c r="AB34" s="378"/>
      <c r="AC34" s="378"/>
      <c r="AD34" s="378"/>
      <c r="AE34" s="378"/>
    </row>
    <row r="35" spans="1:31" ht="7.5" customHeight="1" x14ac:dyDescent="0.2">
      <c r="A35" s="325"/>
      <c r="B35" s="301"/>
      <c r="C35" s="301"/>
      <c r="D35" s="303"/>
      <c r="E35" s="301"/>
      <c r="F35" s="303"/>
      <c r="G35" s="301"/>
      <c r="H35" s="304"/>
      <c r="R35" s="378">
        <v>15</v>
      </c>
      <c r="S35" s="379">
        <f t="shared" si="9"/>
        <v>0</v>
      </c>
      <c r="T35" s="379">
        <f t="shared" si="0"/>
        <v>242.01435597681777</v>
      </c>
      <c r="U35" s="381">
        <f t="shared" si="10"/>
        <v>242.01435597681777</v>
      </c>
      <c r="V35" s="379">
        <f t="shared" si="11"/>
        <v>0</v>
      </c>
      <c r="W35" s="379">
        <f t="shared" si="2"/>
        <v>423.52512295943114</v>
      </c>
      <c r="X35" s="379">
        <f t="shared" si="12"/>
        <v>423.52512295943114</v>
      </c>
      <c r="Y35" s="379">
        <f t="shared" si="13"/>
        <v>0</v>
      </c>
      <c r="Z35" s="379">
        <f t="shared" si="4"/>
        <v>588.39740296863829</v>
      </c>
      <c r="AA35" s="379">
        <f t="shared" si="14"/>
        <v>588.39740296863829</v>
      </c>
      <c r="AB35" s="378"/>
      <c r="AC35" s="378"/>
      <c r="AD35" s="378"/>
      <c r="AE35" s="378"/>
    </row>
    <row r="36" spans="1:31" ht="16.5" customHeight="1" x14ac:dyDescent="0.2">
      <c r="A36" s="1245" t="s">
        <v>215</v>
      </c>
      <c r="B36" s="1246"/>
      <c r="C36" s="1246"/>
      <c r="D36" s="1254">
        <v>6.9000000000000006E-2</v>
      </c>
      <c r="E36" s="188"/>
      <c r="F36" s="1254">
        <v>5.2999999999999999E-2</v>
      </c>
      <c r="G36" s="188"/>
      <c r="H36" s="1263">
        <v>0.16</v>
      </c>
      <c r="R36" s="378">
        <v>16</v>
      </c>
      <c r="S36" s="379">
        <f t="shared" si="9"/>
        <v>0</v>
      </c>
      <c r="T36" s="379">
        <f t="shared" si="0"/>
        <v>249.2747866561223</v>
      </c>
      <c r="U36" s="380">
        <f t="shared" si="10"/>
        <v>249.2747866561223</v>
      </c>
      <c r="V36" s="379">
        <f t="shared" si="11"/>
        <v>0</v>
      </c>
      <c r="W36" s="379">
        <f t="shared" si="2"/>
        <v>436.23087664821406</v>
      </c>
      <c r="X36" s="381">
        <f t="shared" si="12"/>
        <v>436.23087664821406</v>
      </c>
      <c r="Y36" s="379">
        <f t="shared" si="13"/>
        <v>0</v>
      </c>
      <c r="Z36" s="379">
        <f t="shared" si="4"/>
        <v>606.04932505769739</v>
      </c>
      <c r="AA36" s="379">
        <f t="shared" si="14"/>
        <v>606.04932505769739</v>
      </c>
      <c r="AB36" s="378"/>
      <c r="AC36" s="378"/>
      <c r="AD36" s="378"/>
      <c r="AE36" s="378"/>
    </row>
    <row r="37" spans="1:31" ht="11.25" customHeight="1" x14ac:dyDescent="0.2">
      <c r="A37" s="1265"/>
      <c r="B37" s="1266"/>
      <c r="C37" s="1266"/>
      <c r="D37" s="1255"/>
      <c r="E37" s="188"/>
      <c r="F37" s="1255"/>
      <c r="G37" s="188"/>
      <c r="H37" s="1264"/>
      <c r="R37" s="378">
        <v>17</v>
      </c>
      <c r="S37" s="379">
        <f t="shared" si="9"/>
        <v>0</v>
      </c>
      <c r="T37" s="379">
        <f t="shared" si="0"/>
        <v>256.75303025580598</v>
      </c>
      <c r="U37" s="379">
        <f t="shared" si="10"/>
        <v>256.75303025580598</v>
      </c>
      <c r="V37" s="379">
        <f t="shared" si="11"/>
        <v>0</v>
      </c>
      <c r="W37" s="379">
        <f t="shared" si="2"/>
        <v>449.31780294766048</v>
      </c>
      <c r="X37" s="379">
        <f t="shared" si="12"/>
        <v>449.31780294766048</v>
      </c>
      <c r="Y37" s="379">
        <f t="shared" si="13"/>
        <v>0</v>
      </c>
      <c r="Z37" s="379">
        <f t="shared" si="4"/>
        <v>624.23080480942826</v>
      </c>
      <c r="AA37" s="379">
        <f t="shared" si="14"/>
        <v>624.23080480942826</v>
      </c>
      <c r="AB37" s="378"/>
      <c r="AC37" s="378"/>
      <c r="AD37" s="378"/>
      <c r="AE37" s="378"/>
    </row>
    <row r="38" spans="1:31" ht="38.25" customHeight="1" x14ac:dyDescent="0.2">
      <c r="A38" s="1245" t="s">
        <v>217</v>
      </c>
      <c r="B38" s="1239"/>
      <c r="C38" s="1239"/>
      <c r="D38" s="321">
        <v>160</v>
      </c>
      <c r="E38" s="188"/>
      <c r="F38" s="321">
        <v>280</v>
      </c>
      <c r="G38" s="188"/>
      <c r="H38" s="322">
        <v>389</v>
      </c>
      <c r="R38" s="378">
        <v>18</v>
      </c>
      <c r="S38" s="379">
        <f t="shared" si="9"/>
        <v>0</v>
      </c>
      <c r="T38" s="379">
        <f t="shared" si="0"/>
        <v>264.45562116348015</v>
      </c>
      <c r="U38" s="379">
        <f t="shared" si="10"/>
        <v>264.45562116348015</v>
      </c>
      <c r="V38" s="379">
        <f t="shared" si="11"/>
        <v>0</v>
      </c>
      <c r="W38" s="379">
        <f t="shared" si="2"/>
        <v>462.79733703609031</v>
      </c>
      <c r="X38" s="379">
        <f t="shared" si="12"/>
        <v>462.79733703609031</v>
      </c>
      <c r="Y38" s="379">
        <f t="shared" si="13"/>
        <v>0</v>
      </c>
      <c r="Z38" s="379">
        <f t="shared" si="4"/>
        <v>642.95772895371113</v>
      </c>
      <c r="AA38" s="379">
        <f t="shared" si="14"/>
        <v>642.95772895371113</v>
      </c>
      <c r="AB38" s="378"/>
      <c r="AC38" s="378"/>
      <c r="AD38" s="378"/>
      <c r="AE38" s="378"/>
    </row>
    <row r="39" spans="1:31" ht="16.5" customHeight="1" x14ac:dyDescent="0.2">
      <c r="A39" s="1245" t="s">
        <v>218</v>
      </c>
      <c r="B39" s="1239"/>
      <c r="C39" s="1239"/>
      <c r="D39" s="306">
        <f>IF(J17=1,P16,IF(J17=2,P17,IF(J17=3,P18,IF(J17=4,P19,IF(J17=5,P20,IF(J17=6,P21,IF(J17=7,P22,IF(J17=8,P23,IF(J17=9,P24,IF(J17=10,P25,IF(J17=11,"")))))))))))</f>
        <v>0.95</v>
      </c>
      <c r="E39" s="287"/>
      <c r="F39" s="306">
        <f>IF(L17=1,P16,IF(L17=2,P17,IF(L17=3,P18,IF(L17=4,P19,IF(L17=5,P20,IF(L17=6,P21,IF(L17=7,P22,IF(L17=8,P23,IF(L17=9,P24,IF(L17=10,P25,IF(L17=11,"")))))))))))</f>
        <v>0.85</v>
      </c>
      <c r="G39" s="287"/>
      <c r="H39" s="308">
        <f>IF(N17=1,P16,IF(N17=2,P17,IF(N17=3,P18,IF(N17=4,P19,IF(N17=5,P20,IF(N17=6,P21,IF(N17=7,P22,IF(N17=8,P23,IF(N17=9,P24,IF(N17=10,P25,IF(N17=11,"")))))))))))</f>
        <v>3.5</v>
      </c>
      <c r="K39" s="374"/>
      <c r="L39" s="387"/>
      <c r="R39" s="378">
        <v>19</v>
      </c>
      <c r="S39" s="379">
        <f t="shared" si="9"/>
        <v>0</v>
      </c>
      <c r="T39" s="379">
        <f t="shared" si="0"/>
        <v>272.38928979838454</v>
      </c>
      <c r="U39" s="381">
        <f t="shared" si="10"/>
        <v>272.38928979838454</v>
      </c>
      <c r="V39" s="379">
        <f t="shared" si="11"/>
        <v>0</v>
      </c>
      <c r="W39" s="379">
        <f t="shared" si="2"/>
        <v>476.68125714717303</v>
      </c>
      <c r="X39" s="381">
        <f t="shared" si="12"/>
        <v>476.68125714717303</v>
      </c>
      <c r="Y39" s="379">
        <f t="shared" si="13"/>
        <v>0</v>
      </c>
      <c r="Z39" s="379">
        <f t="shared" si="4"/>
        <v>662.24646082232243</v>
      </c>
      <c r="AA39" s="379">
        <f t="shared" si="14"/>
        <v>662.24646082232243</v>
      </c>
      <c r="AB39" s="378"/>
      <c r="AC39" s="378"/>
      <c r="AD39" s="378"/>
      <c r="AE39" s="378"/>
    </row>
    <row r="40" spans="1:31" ht="16.5" customHeight="1" x14ac:dyDescent="0.2">
      <c r="A40" s="1238" t="s">
        <v>220</v>
      </c>
      <c r="B40" s="1246"/>
      <c r="C40" s="1260"/>
      <c r="D40" s="310">
        <f>IF(J17=11,"",F12/D39)</f>
        <v>0</v>
      </c>
      <c r="E40" s="188"/>
      <c r="F40" s="310">
        <f>IF(L17=11,"",F12/F39)</f>
        <v>0</v>
      </c>
      <c r="G40" s="188"/>
      <c r="H40" s="311">
        <f>IF(N17=11,"",F12/H39)</f>
        <v>0</v>
      </c>
      <c r="K40" s="374"/>
      <c r="L40" s="387"/>
      <c r="R40" s="388">
        <v>20</v>
      </c>
      <c r="S40" s="380">
        <f t="shared" si="9"/>
        <v>0</v>
      </c>
      <c r="T40" s="380">
        <f t="shared" si="0"/>
        <v>280.56096849233609</v>
      </c>
      <c r="U40" s="389">
        <f t="shared" si="10"/>
        <v>280.56096849233609</v>
      </c>
      <c r="V40" s="379">
        <f t="shared" si="11"/>
        <v>0</v>
      </c>
      <c r="W40" s="379">
        <f t="shared" si="2"/>
        <v>490.98169486158821</v>
      </c>
      <c r="X40" s="389">
        <f t="shared" si="12"/>
        <v>490.98169486158821</v>
      </c>
      <c r="Y40" s="379">
        <f t="shared" si="13"/>
        <v>0</v>
      </c>
      <c r="Z40" s="379">
        <f t="shared" si="4"/>
        <v>682.11385464699208</v>
      </c>
      <c r="AA40" s="379">
        <f t="shared" si="14"/>
        <v>682.11385464699208</v>
      </c>
      <c r="AB40" s="388"/>
      <c r="AC40" s="388"/>
      <c r="AD40" s="388"/>
      <c r="AE40" s="388"/>
    </row>
    <row r="41" spans="1:31" ht="7.5" customHeight="1" x14ac:dyDescent="0.2">
      <c r="A41" s="286"/>
      <c r="B41" s="188"/>
      <c r="C41" s="188"/>
      <c r="D41" s="188"/>
      <c r="E41" s="188"/>
      <c r="F41" s="188"/>
      <c r="G41" s="188"/>
      <c r="H41" s="228"/>
      <c r="K41" s="387"/>
      <c r="L41" s="387"/>
      <c r="M41" s="387"/>
      <c r="R41" s="390"/>
      <c r="S41" s="391"/>
      <c r="T41" s="391"/>
      <c r="U41" s="390"/>
      <c r="V41" s="390"/>
      <c r="W41" s="390"/>
      <c r="X41" s="390"/>
      <c r="Y41" s="390"/>
      <c r="Z41" s="390"/>
      <c r="AA41" s="390"/>
      <c r="AB41" s="390"/>
      <c r="AC41" s="390"/>
      <c r="AD41" s="390"/>
      <c r="AE41" s="390"/>
    </row>
    <row r="42" spans="1:31" ht="18" customHeight="1" x14ac:dyDescent="0.25">
      <c r="A42" s="312" t="s">
        <v>244</v>
      </c>
      <c r="B42" s="188"/>
      <c r="C42" s="188"/>
      <c r="D42" s="313">
        <f>IF(J17=11,"",D40*D36+D38)</f>
        <v>160</v>
      </c>
      <c r="E42" s="188"/>
      <c r="F42" s="313">
        <f>IF(L17=11,"",F40*F36+F38)</f>
        <v>280</v>
      </c>
      <c r="G42" s="188"/>
      <c r="H42" s="313">
        <f>IF(N17=11,"",H40*H36+H38)</f>
        <v>389</v>
      </c>
      <c r="R42" s="370" t="s">
        <v>213</v>
      </c>
      <c r="S42" s="392">
        <f>SUM(S21:S41)</f>
        <v>11000</v>
      </c>
      <c r="T42" s="393">
        <f>SUM(T21:T41)</f>
        <v>4299.259918236874</v>
      </c>
      <c r="U42" s="394">
        <f t="shared" ref="U42:AA42" si="15">SUM(U21:U40)</f>
        <v>15299.259918236878</v>
      </c>
      <c r="V42" s="392">
        <f t="shared" si="15"/>
        <v>19360</v>
      </c>
      <c r="W42" s="393">
        <f t="shared" si="15"/>
        <v>7523.704856914529</v>
      </c>
      <c r="X42" s="394">
        <f t="shared" si="15"/>
        <v>26883.704856914534</v>
      </c>
      <c r="Y42" s="392">
        <f t="shared" si="15"/>
        <v>23250</v>
      </c>
      <c r="Z42" s="393">
        <f t="shared" si="15"/>
        <v>10452.575676213401</v>
      </c>
      <c r="AA42" s="394">
        <f t="shared" si="15"/>
        <v>33702.575676213404</v>
      </c>
    </row>
    <row r="43" spans="1:31" ht="7.5" customHeight="1" x14ac:dyDescent="0.2">
      <c r="A43" s="286"/>
      <c r="B43" s="188"/>
      <c r="C43" s="188"/>
      <c r="D43" s="188"/>
      <c r="E43" s="188"/>
      <c r="F43" s="188"/>
      <c r="G43" s="188"/>
      <c r="H43" s="228"/>
    </row>
    <row r="44" spans="1:31" ht="19.5" customHeight="1" x14ac:dyDescent="0.2">
      <c r="A44" s="279">
        <v>5</v>
      </c>
      <c r="B44" s="1231" t="s">
        <v>221</v>
      </c>
      <c r="C44" s="1232"/>
      <c r="D44" s="1233"/>
      <c r="E44" s="1233"/>
      <c r="F44" s="1233"/>
      <c r="G44" s="1233"/>
      <c r="H44" s="1234"/>
    </row>
    <row r="45" spans="1:31" ht="7.5" customHeight="1" x14ac:dyDescent="0.2">
      <c r="A45" s="324"/>
      <c r="B45" s="300"/>
      <c r="C45" s="300"/>
      <c r="D45" s="444"/>
      <c r="E45" s="300"/>
      <c r="F45" s="444"/>
      <c r="G45" s="300"/>
      <c r="H45" s="446"/>
    </row>
    <row r="46" spans="1:31" ht="16.5" customHeight="1" x14ac:dyDescent="0.2">
      <c r="A46" s="1238" t="s">
        <v>222</v>
      </c>
      <c r="B46" s="1246"/>
      <c r="C46" s="1246"/>
      <c r="D46" s="443">
        <v>0.03</v>
      </c>
      <c r="E46" s="188"/>
      <c r="F46" s="443">
        <v>0.03</v>
      </c>
      <c r="G46" s="442"/>
      <c r="H46" s="445">
        <v>0.03</v>
      </c>
    </row>
    <row r="47" spans="1:31" ht="12" customHeight="1" x14ac:dyDescent="0.2">
      <c r="A47" s="472"/>
      <c r="B47" s="473"/>
      <c r="C47" s="473"/>
      <c r="D47" s="486" t="str">
        <f>IF(J17=1,"ca. 7,2 % jährlich seit 2008",IF(J17=2,"ca. 1,6 % jährlich seit 2008",IF(J17=3,"ca. 6 % jährlich seit 2008",IF(J17=4,"ca. 4,9 % jährlich seit 2008",IF(J17=5,"ca. 2,8 % jährlich seit 2008",IF(J17=6,"ca. 2,8 % jährlich seit 2008",IF(J17=7,"ca. 3,0 % jährlich seit 2008",IF(OR(J17=8,J17=9,J17=10),"ca. 1,6 % jährlich seit 2008",""))))))))</f>
        <v>ca. 1,6 % jährlich seit 2008</v>
      </c>
      <c r="E47" s="287"/>
      <c r="F47" s="486" t="str">
        <f>IF(L17=1,"ca. 7,2 % jährlich seit 2008",IF(L17=2,"ca. 1,6 % jährlich seit 2008",IF(L17=3,"ca. 6 % jährlich seit 2008",IF(L17=4,"ca. 4,9 % jährlich seit 2008",IF(L17=5,"ca. 2,8 % jährlich seit 2008",IF(L17=6,"ca. 2,8 % jährlich seit 2008",IF(L17=7,"ca. 3,0 % jährlich seit 2008",IF(OR(L17=8,L17=9,L17=10),"ca. 1,6 % jährlich seit 2008",""))))))))</f>
        <v>ca. 6 % jährlich seit 2008</v>
      </c>
      <c r="G47" s="287"/>
      <c r="H47" s="487" t="str">
        <f>IF(N17=1,"ca. 7,2 % jährlich seit 2008",IF(N17=2,"ca. 1,6 % jährlich seit 2008",IF(N17=3,"ca. 6 % jährlich seit 2008",IF(N17=4,"ca. 4,9 % jährlich seit 2008",IF(N17=5,"ca. 2,8 % jährlich seit 2008",IF(N17=6,"ca. 2,8 % jährlich seit 2008",IF(N17=7,"ca. 3,0 % jährlich seit 2008",IF(OR(N17=8,N17=9,N17=10),"ca. 1,6 % jährlich seit 2008",""))))))))</f>
        <v>ca. 1,6 % jährlich seit 2008</v>
      </c>
    </row>
    <row r="48" spans="1:31" ht="7.5" customHeight="1" x14ac:dyDescent="0.2">
      <c r="A48" s="286"/>
      <c r="B48" s="188"/>
      <c r="C48" s="188"/>
      <c r="D48" s="188"/>
      <c r="E48" s="188"/>
      <c r="F48" s="188"/>
      <c r="G48" s="188"/>
      <c r="H48" s="291"/>
    </row>
    <row r="49" spans="1:49" ht="19.5" customHeight="1" x14ac:dyDescent="0.2">
      <c r="A49" s="279">
        <v>6</v>
      </c>
      <c r="B49" s="1231" t="s">
        <v>223</v>
      </c>
      <c r="C49" s="1232"/>
      <c r="D49" s="1232"/>
      <c r="E49" s="1232"/>
      <c r="F49" s="1232"/>
      <c r="G49" s="1232"/>
      <c r="H49" s="1235"/>
    </row>
    <row r="50" spans="1:49" ht="7.5" customHeight="1" x14ac:dyDescent="0.2">
      <c r="A50" s="326"/>
      <c r="B50" s="315"/>
      <c r="C50" s="315"/>
      <c r="D50" s="316"/>
      <c r="E50" s="315"/>
      <c r="F50" s="316"/>
      <c r="G50" s="315"/>
      <c r="H50" s="317"/>
    </row>
    <row r="51" spans="1:49" ht="16.5" customHeight="1" x14ac:dyDescent="0.25">
      <c r="A51" s="1247" t="s">
        <v>224</v>
      </c>
      <c r="B51" s="994"/>
      <c r="C51" s="994"/>
      <c r="D51" s="313">
        <f>IF(J17&lt;=10,SUM(U21:U40),"")</f>
        <v>15299.259918236878</v>
      </c>
      <c r="E51" s="318"/>
      <c r="F51" s="313">
        <f>IF(L17&lt;=10,SUM(X21:X40),"")</f>
        <v>26883.704856914534</v>
      </c>
      <c r="G51" s="188"/>
      <c r="H51" s="313">
        <f>IF(N17&lt;=10,SUM(AA21:AA40),"")</f>
        <v>33702.575676213404</v>
      </c>
    </row>
    <row r="52" spans="1:49" s="254" customFormat="1" ht="7.5" customHeight="1" x14ac:dyDescent="0.25">
      <c r="A52" s="412"/>
      <c r="B52" s="330"/>
      <c r="C52" s="330"/>
      <c r="D52" s="327"/>
      <c r="E52" s="287"/>
      <c r="F52" s="328"/>
      <c r="G52" s="287"/>
      <c r="H52" s="329"/>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07"/>
      <c r="AJ52" s="307"/>
      <c r="AK52" s="307"/>
      <c r="AL52" s="307"/>
      <c r="AM52" s="307"/>
      <c r="AN52" s="307"/>
      <c r="AO52" s="307"/>
      <c r="AP52" s="307"/>
      <c r="AQ52" s="307"/>
      <c r="AR52" s="307"/>
      <c r="AS52" s="307"/>
      <c r="AT52" s="307"/>
      <c r="AU52" s="307"/>
      <c r="AV52" s="307"/>
      <c r="AW52" s="307"/>
    </row>
    <row r="53" spans="1:49" s="254" customFormat="1" ht="30" customHeight="1" x14ac:dyDescent="0.2">
      <c r="A53" s="1256" t="s">
        <v>251</v>
      </c>
      <c r="B53" s="1257"/>
      <c r="C53" s="1257"/>
      <c r="D53" s="422" t="str">
        <f>IF(AND(D51&lt;F51,D51&lt;H51),J15,"")</f>
        <v>Gas-Brennwerttherme</v>
      </c>
      <c r="E53" s="331"/>
      <c r="F53" s="422" t="str">
        <f>IF(AND(F51&lt;D51,F51&lt;H51),L15,"")</f>
        <v/>
      </c>
      <c r="G53" s="331"/>
      <c r="H53" s="421" t="str">
        <f>IF(AND(H51&lt;D51,H51&lt;F51),N15,"")</f>
        <v/>
      </c>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07"/>
      <c r="AJ53" s="307"/>
      <c r="AK53" s="307"/>
      <c r="AL53" s="307"/>
      <c r="AM53" s="307"/>
      <c r="AN53" s="307"/>
      <c r="AO53" s="307"/>
      <c r="AP53" s="307"/>
      <c r="AQ53" s="307"/>
      <c r="AR53" s="307"/>
      <c r="AS53" s="307"/>
      <c r="AT53" s="307"/>
      <c r="AU53" s="307"/>
      <c r="AV53" s="307"/>
      <c r="AW53" s="307"/>
    </row>
    <row r="54" spans="1:49" ht="7.5" customHeight="1" x14ac:dyDescent="0.2">
      <c r="A54" s="332"/>
      <c r="B54" s="290"/>
      <c r="C54" s="290"/>
      <c r="D54" s="290"/>
      <c r="E54" s="290"/>
      <c r="F54" s="290"/>
      <c r="G54" s="290"/>
      <c r="H54" s="291"/>
    </row>
    <row r="55" spans="1:49" ht="12.75" customHeight="1" x14ac:dyDescent="0.2">
      <c r="A55" s="219" t="s">
        <v>254</v>
      </c>
    </row>
    <row r="56" spans="1:49" ht="16.5" customHeight="1" x14ac:dyDescent="0.2"/>
    <row r="57" spans="1:49" ht="16.5" customHeight="1" x14ac:dyDescent="0.2"/>
    <row r="58" spans="1:49" ht="16.5" customHeight="1" x14ac:dyDescent="0.2"/>
    <row r="59" spans="1:49" ht="16.5" customHeight="1" x14ac:dyDescent="0.2"/>
    <row r="60" spans="1:49" ht="16.5" customHeight="1" x14ac:dyDescent="0.2"/>
    <row r="61" spans="1:49" ht="16.5" customHeight="1" x14ac:dyDescent="0.2"/>
    <row r="62" spans="1:49" ht="16.5" customHeight="1" x14ac:dyDescent="0.2"/>
    <row r="63" spans="1:49" ht="16.5" customHeight="1" x14ac:dyDescent="0.2"/>
  </sheetData>
  <sheetProtection selectLockedCells="1"/>
  <customSheetViews>
    <customSheetView guid="{FE27F3BB-8686-48A9-9FE6-C2348F62E79E}" showGridLines="0" fitToPage="1" state="hidden" topLeftCell="A28">
      <selection activeCell="B57" sqref="B57"/>
      <pageMargins left="0.70866141732283472" right="0.70866141732283472" top="0.78740157480314965" bottom="0.78740157480314965" header="0.31496062992125984" footer="0.31496062992125984"/>
      <pageSetup paperSize="9" scale="75" orientation="portrait" r:id="rId1"/>
    </customSheetView>
  </customSheetViews>
  <mergeCells count="48">
    <mergeCell ref="A53:C53"/>
    <mergeCell ref="A2:B2"/>
    <mergeCell ref="B44:H44"/>
    <mergeCell ref="A46:C46"/>
    <mergeCell ref="B49:H49"/>
    <mergeCell ref="A51:C51"/>
    <mergeCell ref="A38:C38"/>
    <mergeCell ref="A39:C39"/>
    <mergeCell ref="A40:C40"/>
    <mergeCell ref="A29:C29"/>
    <mergeCell ref="A30:C30"/>
    <mergeCell ref="A31:C31"/>
    <mergeCell ref="B33:H33"/>
    <mergeCell ref="A36:C36"/>
    <mergeCell ref="H36:H37"/>
    <mergeCell ref="A37:C37"/>
    <mergeCell ref="E30:G30"/>
    <mergeCell ref="E31:G31"/>
    <mergeCell ref="D36:D37"/>
    <mergeCell ref="F36:F37"/>
    <mergeCell ref="AE19:AE20"/>
    <mergeCell ref="Y19:Y20"/>
    <mergeCell ref="Z19:Z20"/>
    <mergeCell ref="AA19:AA20"/>
    <mergeCell ref="AD19:AD20"/>
    <mergeCell ref="A27:C27"/>
    <mergeCell ref="W19:W20"/>
    <mergeCell ref="X19:X20"/>
    <mergeCell ref="AB19:AB20"/>
    <mergeCell ref="AC19:AC20"/>
    <mergeCell ref="R19:R20"/>
    <mergeCell ref="S19:S20"/>
    <mergeCell ref="T19:T20"/>
    <mergeCell ref="U19:U20"/>
    <mergeCell ref="V19:V20"/>
    <mergeCell ref="A20:C20"/>
    <mergeCell ref="A21:C21"/>
    <mergeCell ref="A22:C22"/>
    <mergeCell ref="A24:C24"/>
    <mergeCell ref="B26:H26"/>
    <mergeCell ref="A1:H1"/>
    <mergeCell ref="B8:H8"/>
    <mergeCell ref="B14:H14"/>
    <mergeCell ref="G9:H9"/>
    <mergeCell ref="A19:C19"/>
    <mergeCell ref="C4:H4"/>
    <mergeCell ref="C5:H5"/>
    <mergeCell ref="C6:H6"/>
  </mergeCells>
  <pageMargins left="0.70866141732283472" right="0.70866141732283472" top="0.78740157480314965" bottom="0.78740157480314965" header="0.31496062992125984"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Drop Down 1">
              <controlPr defaultSize="0" autoLine="0" autoPict="0">
                <anchor moveWithCells="1">
                  <from>
                    <xdr:col>2</xdr:col>
                    <xdr:colOff>1714500</xdr:colOff>
                    <xdr:row>16</xdr:row>
                    <xdr:rowOff>9525</xdr:rowOff>
                  </from>
                  <to>
                    <xdr:col>4</xdr:col>
                    <xdr:colOff>0</xdr:colOff>
                    <xdr:row>17</xdr:row>
                    <xdr:rowOff>0</xdr:rowOff>
                  </to>
                </anchor>
              </controlPr>
            </control>
          </mc:Choice>
        </mc:AlternateContent>
        <mc:AlternateContent xmlns:mc="http://schemas.openxmlformats.org/markup-compatibility/2006">
          <mc:Choice Requires="x14">
            <control shapeId="4098" r:id="rId6" name="Drop Down 2">
              <controlPr defaultSize="0" autoLine="0" autoPict="0">
                <anchor moveWithCells="1">
                  <from>
                    <xdr:col>4</xdr:col>
                    <xdr:colOff>219075</xdr:colOff>
                    <xdr:row>16</xdr:row>
                    <xdr:rowOff>0</xdr:rowOff>
                  </from>
                  <to>
                    <xdr:col>6</xdr:col>
                    <xdr:colOff>9525</xdr:colOff>
                    <xdr:row>17</xdr:row>
                    <xdr:rowOff>0</xdr:rowOff>
                  </to>
                </anchor>
              </controlPr>
            </control>
          </mc:Choice>
        </mc:AlternateContent>
        <mc:AlternateContent xmlns:mc="http://schemas.openxmlformats.org/markup-compatibility/2006">
          <mc:Choice Requires="x14">
            <control shapeId="4099" r:id="rId7" name="Drop Down 3">
              <controlPr defaultSize="0" autoLine="0" autoPict="0">
                <anchor moveWithCells="1">
                  <from>
                    <xdr:col>7</xdr:col>
                    <xdr:colOff>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4100" r:id="rId8" name="Drop Down 4">
              <controlPr defaultSize="0" autoLine="0" autoPict="0">
                <anchor moveWithCells="1">
                  <from>
                    <xdr:col>4</xdr:col>
                    <xdr:colOff>0</xdr:colOff>
                    <xdr:row>27</xdr:row>
                    <xdr:rowOff>85725</xdr:rowOff>
                  </from>
                  <to>
                    <xdr:col>7</xdr:col>
                    <xdr:colOff>0</xdr:colOff>
                    <xdr:row>28</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36"/>
  <sheetViews>
    <sheetView showGridLines="0" topLeftCell="A7" workbookViewId="0">
      <selection activeCell="L27" sqref="L27"/>
    </sheetView>
  </sheetViews>
  <sheetFormatPr baseColWidth="10" defaultRowHeight="12.75" x14ac:dyDescent="0.2"/>
  <cols>
    <col min="1" max="1" width="4.42578125" customWidth="1"/>
    <col min="2" max="2" width="8" customWidth="1"/>
    <col min="3" max="3" width="22" customWidth="1"/>
    <col min="4" max="4" width="25.5703125" customWidth="1"/>
    <col min="5" max="5" width="23.7109375" customWidth="1"/>
    <col min="6" max="6" width="18.140625" customWidth="1"/>
    <col min="7" max="7" width="14.140625" customWidth="1"/>
    <col min="8" max="8" width="15.28515625" customWidth="1"/>
    <col min="12" max="12" width="12.7109375" customWidth="1"/>
    <col min="13" max="13" width="13.140625" customWidth="1"/>
    <col min="14" max="14" width="12.7109375" customWidth="1"/>
    <col min="15" max="18" width="11.42578125" customWidth="1"/>
  </cols>
  <sheetData>
    <row r="1" spans="1:19" ht="42" customHeight="1" x14ac:dyDescent="0.25">
      <c r="A1" s="1228" t="s">
        <v>242</v>
      </c>
      <c r="B1" s="1229"/>
      <c r="C1" s="1229"/>
      <c r="D1" s="1229"/>
      <c r="E1" s="1229"/>
      <c r="F1" s="1229"/>
      <c r="G1" s="1229"/>
      <c r="H1" s="1230"/>
    </row>
    <row r="2" spans="1:19" ht="11.25" customHeight="1" x14ac:dyDescent="0.2">
      <c r="A2" s="418" t="str">
        <f>Erklärung!A2</f>
        <v>Version 3.2</v>
      </c>
      <c r="B2" s="419"/>
      <c r="C2" s="439"/>
      <c r="D2" s="323"/>
      <c r="E2" s="323"/>
      <c r="F2" s="323"/>
      <c r="G2" s="529" t="str">
        <f>Erklärung!D2</f>
        <v>Stand: August 2016</v>
      </c>
      <c r="H2" s="479"/>
    </row>
    <row r="3" spans="1:19" ht="4.5" customHeight="1" x14ac:dyDescent="0.2">
      <c r="A3" s="428"/>
      <c r="B3" s="429"/>
      <c r="C3" s="430"/>
      <c r="D3" s="430"/>
      <c r="E3" s="430"/>
      <c r="F3" s="430"/>
      <c r="G3" s="430"/>
      <c r="H3" s="431"/>
    </row>
    <row r="4" spans="1:19" ht="15" customHeight="1" x14ac:dyDescent="0.2">
      <c r="A4" s="433"/>
      <c r="B4" s="434" t="s">
        <v>228</v>
      </c>
      <c r="C4" s="451">
        <f>Basisdaten!C10</f>
        <v>0</v>
      </c>
      <c r="D4" s="447"/>
      <c r="E4" s="447"/>
      <c r="F4" s="447"/>
      <c r="G4" s="447"/>
      <c r="H4" s="448"/>
      <c r="L4" s="367"/>
      <c r="M4" s="367"/>
      <c r="N4" s="367"/>
      <c r="O4" s="367"/>
      <c r="P4" s="367"/>
      <c r="Q4" s="367"/>
    </row>
    <row r="5" spans="1:19" ht="15" customHeight="1" x14ac:dyDescent="0.2">
      <c r="A5" s="435"/>
      <c r="B5" s="436" t="s">
        <v>229</v>
      </c>
      <c r="C5" s="452">
        <f>Basisdaten!C11</f>
        <v>0</v>
      </c>
      <c r="D5" s="449"/>
      <c r="E5" s="449"/>
      <c r="F5" s="449"/>
      <c r="G5" s="449"/>
      <c r="H5" s="450"/>
      <c r="K5" s="455"/>
      <c r="L5" s="456"/>
      <c r="M5" s="456"/>
      <c r="N5" s="456"/>
      <c r="O5" s="456"/>
      <c r="P5" s="456"/>
      <c r="Q5" s="456"/>
      <c r="R5" s="455"/>
      <c r="S5" s="455"/>
    </row>
    <row r="6" spans="1:19" ht="14.25" x14ac:dyDescent="0.2">
      <c r="A6" s="437"/>
      <c r="B6" s="438"/>
      <c r="C6" s="454">
        <f>Basisdaten!C12</f>
        <v>0</v>
      </c>
      <c r="D6" s="88"/>
      <c r="E6" s="88"/>
      <c r="F6" s="88"/>
      <c r="G6" s="88"/>
      <c r="H6" s="453"/>
      <c r="K6" s="455"/>
      <c r="L6" s="460"/>
      <c r="M6" s="399"/>
      <c r="N6" s="399"/>
      <c r="O6" s="399"/>
      <c r="P6" s="399"/>
      <c r="Q6" s="399"/>
      <c r="R6" s="461"/>
      <c r="S6" s="455"/>
    </row>
    <row r="7" spans="1:19" ht="4.5" customHeight="1" x14ac:dyDescent="0.2">
      <c r="A7" s="425"/>
      <c r="B7" s="426"/>
      <c r="C7" s="427"/>
      <c r="D7" s="427"/>
      <c r="E7" s="427"/>
      <c r="F7" s="427"/>
      <c r="G7" s="427"/>
      <c r="H7" s="432"/>
      <c r="K7" s="455"/>
      <c r="L7" s="460"/>
      <c r="M7" s="457" t="s">
        <v>225</v>
      </c>
      <c r="N7" s="457" t="s">
        <v>225</v>
      </c>
      <c r="O7" s="399"/>
      <c r="P7" s="399"/>
      <c r="Q7" s="399"/>
      <c r="R7" s="461"/>
      <c r="S7" s="455"/>
    </row>
    <row r="8" spans="1:19" x14ac:dyDescent="0.2">
      <c r="A8" s="462"/>
      <c r="B8" s="267"/>
      <c r="C8" s="267"/>
      <c r="D8" s="267"/>
      <c r="E8" s="267"/>
      <c r="F8" s="267"/>
      <c r="G8" s="267"/>
      <c r="H8" s="441"/>
      <c r="K8" s="455"/>
      <c r="L8" s="460"/>
      <c r="M8" s="399" t="s">
        <v>226</v>
      </c>
      <c r="N8" s="399" t="str">
        <f>Kostenrechner!J15</f>
        <v>Gas-Brennwerttherme</v>
      </c>
      <c r="O8" s="399" t="str">
        <f>Kostenrechner!L15</f>
        <v>Pelletsanlage</v>
      </c>
      <c r="P8" s="399" t="str">
        <f>Kostenrechner!N15</f>
        <v>Wärmepumpe Erdreich</v>
      </c>
      <c r="Q8" s="399"/>
      <c r="R8" s="461"/>
      <c r="S8" s="455"/>
    </row>
    <row r="9" spans="1:19" x14ac:dyDescent="0.2">
      <c r="A9" s="252"/>
      <c r="B9" s="24"/>
      <c r="C9" s="24"/>
      <c r="D9" s="24"/>
      <c r="E9" s="24"/>
      <c r="F9" s="24"/>
      <c r="G9" s="24"/>
      <c r="H9" s="262"/>
      <c r="K9" s="455"/>
      <c r="L9" s="460"/>
      <c r="M9" s="458">
        <v>1</v>
      </c>
      <c r="N9" s="459">
        <f>IF(Kostenrechner!J28=1,Kostenrechner!S21+Kostenrechner!T21,IF(Kostenrechner!J28=2,Kostenrechner!U21))</f>
        <v>11160</v>
      </c>
      <c r="O9" s="459">
        <f>IF(Kostenrechner!J28=1,Kostenrechner!V21+Kostenrechner!W21,IF(Kostenrechner!J28=2,Kostenrechner!X21))</f>
        <v>19640</v>
      </c>
      <c r="P9" s="459">
        <f>IF(Kostenrechner!J28=1,Kostenrechner!Y21+Kostenrechner!Z21,IF(Kostenrechner!J28=2,Kostenrechner!AA21))</f>
        <v>23639</v>
      </c>
      <c r="Q9" s="399"/>
      <c r="R9" s="461"/>
      <c r="S9" s="455"/>
    </row>
    <row r="10" spans="1:19" x14ac:dyDescent="0.2">
      <c r="A10" s="252"/>
      <c r="B10" s="24"/>
      <c r="C10" s="24"/>
      <c r="D10" s="24"/>
      <c r="E10" s="24"/>
      <c r="F10" s="24"/>
      <c r="G10" s="24"/>
      <c r="H10" s="262"/>
      <c r="K10" s="455"/>
      <c r="L10" s="460"/>
      <c r="M10" s="458">
        <v>2</v>
      </c>
      <c r="N10" s="459">
        <f>IF(Kostenrechner!$J$28=1,Kostenrechner!$S$21+SUM(Kostenrechner!$T$21:T22),IF(Kostenrechner!$J$28=2,SUM(Kostenrechner!$U$21:U22)))</f>
        <v>11324.8</v>
      </c>
      <c r="O10" s="459">
        <f>IF(Kostenrechner!$J$28=1,Kostenrechner!$V$21+SUM(Kostenrechner!$W$21:W22),IF(Kostenrechner!$J$28=2,SUM(Kostenrechner!$X$21:X22)))</f>
        <v>19928.400000000001</v>
      </c>
      <c r="P10" s="459">
        <f>IF(Kostenrechner!$J$28=1,Kostenrechner!$Y$21+SUM(Kostenrechner!$Z$21:Z22),IF(Kostenrechner!$J$28=2,SUM(Kostenrechner!$AA$21:AA22)))</f>
        <v>24039.67</v>
      </c>
      <c r="Q10" s="399"/>
      <c r="R10" s="461"/>
      <c r="S10" s="455"/>
    </row>
    <row r="11" spans="1:19" x14ac:dyDescent="0.2">
      <c r="A11" s="252"/>
      <c r="B11" s="24"/>
      <c r="C11" s="24"/>
      <c r="D11" s="24"/>
      <c r="E11" s="24"/>
      <c r="F11" s="24"/>
      <c r="G11" s="24"/>
      <c r="H11" s="262"/>
      <c r="K11" s="455"/>
      <c r="L11" s="460"/>
      <c r="M11" s="458">
        <v>3</v>
      </c>
      <c r="N11" s="459">
        <f>IF(Kostenrechner!$J$28=1,Kostenrechner!$S$21+SUM(Kostenrechner!$T$21:T23),IF(Kostenrechner!$J$28=2,SUM(Kostenrechner!$U$21:U23)))</f>
        <v>11494.544</v>
      </c>
      <c r="O11" s="459">
        <f>IF(Kostenrechner!$J$28=1,Kostenrechner!$V$21+SUM(Kostenrechner!$W$21:W23),IF(Kostenrechner!$J$28=2,SUM(Kostenrechner!$X$21:X23)))</f>
        <v>20225.452000000001</v>
      </c>
      <c r="P11" s="459">
        <f>IF(Kostenrechner!$J$28=1,Kostenrechner!$Y$21+SUM(Kostenrechner!$Z$21:Z23),IF(Kostenrechner!$J$28=2,SUM(Kostenrechner!$AA$21:AA23)))</f>
        <v>24452.360100000002</v>
      </c>
      <c r="Q11" s="399"/>
      <c r="R11" s="461"/>
      <c r="S11" s="455"/>
    </row>
    <row r="12" spans="1:19" x14ac:dyDescent="0.2">
      <c r="A12" s="252"/>
      <c r="B12" s="24"/>
      <c r="C12" s="24"/>
      <c r="D12" s="24"/>
      <c r="E12" s="24"/>
      <c r="F12" s="24"/>
      <c r="G12" s="24"/>
      <c r="H12" s="262"/>
      <c r="K12" s="455"/>
      <c r="L12" s="460"/>
      <c r="M12" s="458">
        <v>4</v>
      </c>
      <c r="N12" s="459">
        <f>IF(Kostenrechner!$J$28=1,Kostenrechner!$S$21+SUM(Kostenrechner!$T$21:T24),IF(Kostenrechner!$J$28=2,SUM(Kostenrechner!$U$21:U24)))</f>
        <v>11669.38032</v>
      </c>
      <c r="O12" s="459">
        <f>IF(Kostenrechner!$J$28=1,Kostenrechner!$V$21+SUM(Kostenrechner!$W$21:W24),IF(Kostenrechner!$J$28=2,SUM(Kostenrechner!$X$21:X24)))</f>
        <v>20531.415560000001</v>
      </c>
      <c r="P12" s="459">
        <f>IF(Kostenrechner!$J$28=1,Kostenrechner!$Y$21+SUM(Kostenrechner!$Z$21:Z24),IF(Kostenrechner!$J$28=2,SUM(Kostenrechner!$AA$21:AA24)))</f>
        <v>24877.430903</v>
      </c>
      <c r="Q12" s="399"/>
      <c r="R12" s="461"/>
      <c r="S12" s="455"/>
    </row>
    <row r="13" spans="1:19" x14ac:dyDescent="0.2">
      <c r="A13" s="252"/>
      <c r="B13" s="24"/>
      <c r="C13" s="24"/>
      <c r="D13" s="24"/>
      <c r="E13" s="24"/>
      <c r="F13" s="24"/>
      <c r="G13" s="24"/>
      <c r="H13" s="262"/>
      <c r="K13" s="455"/>
      <c r="L13" s="460"/>
      <c r="M13" s="458">
        <v>5</v>
      </c>
      <c r="N13" s="459">
        <f>IF(Kostenrechner!$J$28=1,Kostenrechner!$S$21+SUM(Kostenrechner!$T$21:T25),IF(Kostenrechner!$J$28=2,SUM(Kostenrechner!$U$21:U25)))</f>
        <v>11849.4617296</v>
      </c>
      <c r="O13" s="459">
        <f>IF(Kostenrechner!$J$28=1,Kostenrechner!$V$21+SUM(Kostenrechner!$W$21:W25),IF(Kostenrechner!$J$28=2,SUM(Kostenrechner!$X$21:X25)))</f>
        <v>20846.558026800001</v>
      </c>
      <c r="P13" s="459">
        <f>IF(Kostenrechner!$J$28=1,Kostenrechner!$Y$21+SUM(Kostenrechner!$Z$21:Z25),IF(Kostenrechner!$J$28=2,SUM(Kostenrechner!$AA$21:AA25)))</f>
        <v>25315.253830090001</v>
      </c>
      <c r="Q13" s="399"/>
      <c r="R13" s="461"/>
      <c r="S13" s="455"/>
    </row>
    <row r="14" spans="1:19" x14ac:dyDescent="0.2">
      <c r="A14" s="252"/>
      <c r="B14" s="24"/>
      <c r="C14" s="24"/>
      <c r="D14" s="24"/>
      <c r="E14" s="24"/>
      <c r="F14" s="24"/>
      <c r="G14" s="24"/>
      <c r="H14" s="262"/>
      <c r="K14" s="455"/>
      <c r="L14" s="460"/>
      <c r="M14" s="458">
        <v>6</v>
      </c>
      <c r="N14" s="459">
        <f>IF(Kostenrechner!$J$28=1,Kostenrechner!$S$21+SUM(Kostenrechner!$T$21:T26),IF(Kostenrechner!$J$28=2,SUM(Kostenrechner!$U$21:U26)))</f>
        <v>12034.945581488</v>
      </c>
      <c r="O14" s="459">
        <f>IF(Kostenrechner!$J$28=1,Kostenrechner!$V$21+SUM(Kostenrechner!$W$21:W26),IF(Kostenrechner!$J$28=2,SUM(Kostenrechner!$X$21:X26)))</f>
        <v>21171.154767603999</v>
      </c>
      <c r="P14" s="459">
        <f>IF(Kostenrechner!$J$28=1,Kostenrechner!$Y$21+SUM(Kostenrechner!$Z$21:Z26),IF(Kostenrechner!$J$28=2,SUM(Kostenrechner!$AA$21:AA26)))</f>
        <v>25766.211444992699</v>
      </c>
      <c r="Q14" s="399"/>
      <c r="R14" s="461"/>
      <c r="S14" s="455"/>
    </row>
    <row r="15" spans="1:19" x14ac:dyDescent="0.2">
      <c r="A15" s="252"/>
      <c r="B15" s="24"/>
      <c r="C15" s="24"/>
      <c r="D15" s="24"/>
      <c r="E15" s="24"/>
      <c r="F15" s="24"/>
      <c r="G15" s="24"/>
      <c r="H15" s="262"/>
      <c r="K15" s="455"/>
      <c r="L15" s="460"/>
      <c r="M15" s="458">
        <v>7</v>
      </c>
      <c r="N15" s="459">
        <f>IF(Kostenrechner!$J$28=1,Kostenrechner!$S$21+SUM(Kostenrechner!$T$21:T27),IF(Kostenrechner!$J$28=2,SUM(Kostenrechner!$U$21:U27)))</f>
        <v>12225.993948932641</v>
      </c>
      <c r="O15" s="459">
        <f>IF(Kostenrechner!$J$28=1,Kostenrechner!$V$21+SUM(Kostenrechner!$W$21:W27),IF(Kostenrechner!$J$28=2,SUM(Kostenrechner!$X$21:X27)))</f>
        <v>21505.489410632119</v>
      </c>
      <c r="P15" s="459">
        <f>IF(Kostenrechner!$J$28=1,Kostenrechner!$Y$21+SUM(Kostenrechner!$Z$21:Z27),IF(Kostenrechner!$J$28=2,SUM(Kostenrechner!$AA$21:AA27)))</f>
        <v>26230.697788342481</v>
      </c>
      <c r="Q15" s="399"/>
      <c r="R15" s="461"/>
      <c r="S15" s="455"/>
    </row>
    <row r="16" spans="1:19" x14ac:dyDescent="0.2">
      <c r="A16" s="252"/>
      <c r="B16" s="24"/>
      <c r="C16" s="24"/>
      <c r="D16" s="24"/>
      <c r="E16" s="24"/>
      <c r="F16" s="24"/>
      <c r="G16" s="24"/>
      <c r="H16" s="262"/>
      <c r="K16" s="455"/>
      <c r="L16" s="460"/>
      <c r="M16" s="458">
        <v>8</v>
      </c>
      <c r="N16" s="459">
        <f>IF(Kostenrechner!$J$28=1,Kostenrechner!$S$21+SUM(Kostenrechner!$T$21:T28),IF(Kostenrechner!$J$28=2,SUM(Kostenrechner!$U$21:U28)))</f>
        <v>12422.773767400618</v>
      </c>
      <c r="O16" s="459">
        <f>IF(Kostenrechner!$J$28=1,Kostenrechner!$V$21+SUM(Kostenrechner!$W$21:W28),IF(Kostenrechner!$J$28=2,SUM(Kostenrechner!$X$21:X28)))</f>
        <v>21849.854092951085</v>
      </c>
      <c r="P16" s="459">
        <f>IF(Kostenrechner!$J$28=1,Kostenrechner!$Y$21+SUM(Kostenrechner!$Z$21:Z28),IF(Kostenrechner!$J$28=2,SUM(Kostenrechner!$AA$21:AA28)))</f>
        <v>26709.118721992756</v>
      </c>
      <c r="Q16" s="399"/>
      <c r="R16" s="461"/>
      <c r="S16" s="455"/>
    </row>
    <row r="17" spans="1:19" x14ac:dyDescent="0.2">
      <c r="A17" s="252"/>
      <c r="B17" s="24"/>
      <c r="C17" s="24"/>
      <c r="D17" s="24"/>
      <c r="E17" s="24"/>
      <c r="F17" s="24"/>
      <c r="G17" s="24"/>
      <c r="H17" s="262"/>
      <c r="K17" s="455"/>
      <c r="L17" s="460"/>
      <c r="M17" s="458">
        <v>9</v>
      </c>
      <c r="N17" s="459">
        <f>IF(Kostenrechner!$J$28=1,Kostenrechner!$S$21+SUM(Kostenrechner!$T$21:T29),IF(Kostenrechner!$J$28=2,SUM(Kostenrechner!$U$21:U29)))</f>
        <v>12625.456980422638</v>
      </c>
      <c r="O17" s="459">
        <f>IF(Kostenrechner!$J$28=1,Kostenrechner!$V$21+SUM(Kostenrechner!$W$21:W29),IF(Kostenrechner!$J$28=2,SUM(Kostenrechner!$X$21:X29)))</f>
        <v>22204.549715739617</v>
      </c>
      <c r="P17" s="459">
        <f>IF(Kostenrechner!$J$28=1,Kostenrechner!$Y$21+SUM(Kostenrechner!$Z$21:Z29),IF(Kostenrechner!$J$28=2,SUM(Kostenrechner!$AA$21:AA29)))</f>
        <v>27201.892283652538</v>
      </c>
      <c r="Q17" s="399"/>
      <c r="R17" s="461"/>
      <c r="S17" s="455"/>
    </row>
    <row r="18" spans="1:19" x14ac:dyDescent="0.2">
      <c r="A18" s="252"/>
      <c r="B18" s="24"/>
      <c r="C18" s="24"/>
      <c r="D18" s="24"/>
      <c r="E18" s="24"/>
      <c r="F18" s="24"/>
      <c r="G18" s="24"/>
      <c r="H18" s="262"/>
      <c r="K18" s="455"/>
      <c r="L18" s="460"/>
      <c r="M18" s="458">
        <v>10</v>
      </c>
      <c r="N18" s="459">
        <f>IF(Kostenrechner!$J$28=1,Kostenrechner!$S$21+SUM(Kostenrechner!$T$21:T30),IF(Kostenrechner!$J$28=2,SUM(Kostenrechner!$U$21:U30)))</f>
        <v>12834.220689835318</v>
      </c>
      <c r="O18" s="459">
        <f>IF(Kostenrechner!$J$28=1,Kostenrechner!$V$21+SUM(Kostenrechner!$W$21:W30),IF(Kostenrechner!$J$28=2,SUM(Kostenrechner!$X$21:X30)))</f>
        <v>22569.886207211806</v>
      </c>
      <c r="P18" s="459">
        <f>IF(Kostenrechner!$J$28=1,Kostenrechner!$Y$21+SUM(Kostenrechner!$Z$21:Z30),IF(Kostenrechner!$J$28=2,SUM(Kostenrechner!$AA$21:AA30)))</f>
        <v>27709.449052162116</v>
      </c>
      <c r="Q18" s="399"/>
      <c r="R18" s="461"/>
      <c r="S18" s="455"/>
    </row>
    <row r="19" spans="1:19" x14ac:dyDescent="0.2">
      <c r="A19" s="252"/>
      <c r="B19" s="24"/>
      <c r="C19" s="24"/>
      <c r="D19" s="24"/>
      <c r="E19" s="24"/>
      <c r="F19" s="24"/>
      <c r="G19" s="24"/>
      <c r="H19" s="262"/>
      <c r="K19" s="455"/>
      <c r="L19" s="460"/>
      <c r="M19" s="458">
        <v>11</v>
      </c>
      <c r="N19" s="459">
        <f>IF(Kostenrechner!$J$28=1,Kostenrechner!$S$21+SUM(Kostenrechner!$T$21:T31),IF(Kostenrechner!$J$28=2,SUM(Kostenrechner!$U$21:U31)))</f>
        <v>13049.247310530376</v>
      </c>
      <c r="O19" s="459">
        <f>IF(Kostenrechner!$J$28=1,Kostenrechner!$V$21+SUM(Kostenrechner!$W$21:W31),IF(Kostenrechner!$J$28=2,SUM(Kostenrechner!$X$21:X31)))</f>
        <v>22946.182793428157</v>
      </c>
      <c r="P19" s="459">
        <f>IF(Kostenrechner!$J$28=1,Kostenrechner!$Y$21+SUM(Kostenrechner!$Z$21:Z31),IF(Kostenrechner!$J$28=2,SUM(Kostenrechner!$AA$21:AA31)))</f>
        <v>28232.23252372698</v>
      </c>
      <c r="Q19" s="399"/>
      <c r="R19" s="461"/>
      <c r="S19" s="455"/>
    </row>
    <row r="20" spans="1:19" x14ac:dyDescent="0.2">
      <c r="A20" s="252"/>
      <c r="B20" s="24"/>
      <c r="C20" s="24"/>
      <c r="D20" s="24"/>
      <c r="E20" s="24"/>
      <c r="F20" s="24"/>
      <c r="G20" s="24"/>
      <c r="H20" s="262"/>
      <c r="K20" s="455"/>
      <c r="L20" s="460"/>
      <c r="M20" s="458">
        <v>12</v>
      </c>
      <c r="N20" s="459">
        <f>IF(Kostenrechner!$J$28=1,Kostenrechner!$S$21+SUM(Kostenrechner!$T$21:T32),IF(Kostenrechner!$J$28=2,SUM(Kostenrechner!$U$21:U32)))</f>
        <v>13270.724729846288</v>
      </c>
      <c r="O20" s="459">
        <f>IF(Kostenrechner!$J$28=1,Kostenrechner!$V$21+SUM(Kostenrechner!$W$21:W32),IF(Kostenrechner!$J$28=2,SUM(Kostenrechner!$X$21:X32)))</f>
        <v>23333.768277231004</v>
      </c>
      <c r="P20" s="459">
        <f>IF(Kostenrechner!$J$28=1,Kostenrechner!$Y$21+SUM(Kostenrechner!$Z$21:Z32),IF(Kostenrechner!$J$28=2,SUM(Kostenrechner!$AA$21:AA32)))</f>
        <v>28770.699499438786</v>
      </c>
      <c r="Q20" s="399"/>
      <c r="R20" s="461"/>
      <c r="S20" s="455"/>
    </row>
    <row r="21" spans="1:19" x14ac:dyDescent="0.2">
      <c r="A21" s="252"/>
      <c r="B21" s="24"/>
      <c r="C21" s="24"/>
      <c r="D21" s="24"/>
      <c r="E21" s="24"/>
      <c r="F21" s="24"/>
      <c r="G21" s="24"/>
      <c r="H21" s="262"/>
      <c r="K21" s="455"/>
      <c r="L21" s="460"/>
      <c r="M21" s="458">
        <v>13</v>
      </c>
      <c r="N21" s="459">
        <f>IF(Kostenrechner!$J$28=1,Kostenrechner!$S$21+SUM(Kostenrechner!$T$21:T33),IF(Kostenrechner!$J$28=2,SUM(Kostenrechner!$U$21:U33)))</f>
        <v>13498.846471741677</v>
      </c>
      <c r="O21" s="459">
        <f>IF(Kostenrechner!$J$28=1,Kostenrechner!$V$21+SUM(Kostenrechner!$W$21:W33),IF(Kostenrechner!$J$28=2,SUM(Kostenrechner!$X$21:X33)))</f>
        <v>23732.981325547935</v>
      </c>
      <c r="P21" s="459">
        <f>IF(Kostenrechner!$J$28=1,Kostenrechner!$Y$21+SUM(Kostenrechner!$Z$21:Z33),IF(Kostenrechner!$J$28=2,SUM(Kostenrechner!$AA$21:AA33)))</f>
        <v>29325.320484421951</v>
      </c>
      <c r="Q21" s="399"/>
      <c r="R21" s="461"/>
      <c r="S21" s="455"/>
    </row>
    <row r="22" spans="1:19" x14ac:dyDescent="0.2">
      <c r="A22" s="252"/>
      <c r="B22" s="24"/>
      <c r="C22" s="24"/>
      <c r="D22" s="24"/>
      <c r="E22" s="24"/>
      <c r="F22" s="24"/>
      <c r="G22" s="24"/>
      <c r="H22" s="262"/>
      <c r="K22" s="455"/>
      <c r="L22" s="460"/>
      <c r="M22" s="458">
        <v>14</v>
      </c>
      <c r="N22" s="459">
        <f>IF(Kostenrechner!$J$28=1,Kostenrechner!$S$21+SUM(Kostenrechner!$T$21:T34),IF(Kostenrechner!$J$28=2,SUM(Kostenrechner!$U$21:U34)))</f>
        <v>13733.811865893927</v>
      </c>
      <c r="O22" s="459">
        <f>IF(Kostenrechner!$J$28=1,Kostenrechner!$V$21+SUM(Kostenrechner!$W$21:W34),IF(Kostenrechner!$J$28=2,SUM(Kostenrechner!$X$21:X34)))</f>
        <v>24144.170765314371</v>
      </c>
      <c r="P22" s="459">
        <f>IF(Kostenrechner!$J$28=1,Kostenrechner!$Y$21+SUM(Kostenrechner!$Z$21:Z34),IF(Kostenrechner!$J$28=2,SUM(Kostenrechner!$AA$21:AA34)))</f>
        <v>29896.580098954611</v>
      </c>
      <c r="Q22" s="399"/>
      <c r="R22" s="461"/>
      <c r="S22" s="455"/>
    </row>
    <row r="23" spans="1:19" x14ac:dyDescent="0.2">
      <c r="A23" s="252"/>
      <c r="B23" s="24"/>
      <c r="C23" s="24"/>
      <c r="D23" s="24"/>
      <c r="E23" s="24"/>
      <c r="F23" s="24"/>
      <c r="G23" s="24"/>
      <c r="H23" s="262"/>
      <c r="K23" s="455"/>
      <c r="L23" s="460"/>
      <c r="M23" s="458">
        <v>15</v>
      </c>
      <c r="N23" s="459">
        <f>IF(Kostenrechner!$J$28=1,Kostenrechner!$S$21+SUM(Kostenrechner!$T$21:T35),IF(Kostenrechner!$J$28=2,SUM(Kostenrechner!$U$21:U35)))</f>
        <v>13975.826221870744</v>
      </c>
      <c r="O23" s="459">
        <f>IF(Kostenrechner!$J$28=1,Kostenrechner!$V$21+SUM(Kostenrechner!$W$21:W35),IF(Kostenrechner!$J$28=2,SUM(Kostenrechner!$X$21:X35)))</f>
        <v>24567.695888273804</v>
      </c>
      <c r="P23" s="459">
        <f>IF(Kostenrechner!$J$28=1,Kostenrechner!$Y$21+SUM(Kostenrechner!$Z$21:Z35),IF(Kostenrechner!$J$28=2,SUM(Kostenrechner!$AA$21:AA35)))</f>
        <v>30484.977501923247</v>
      </c>
      <c r="Q23" s="399"/>
      <c r="R23" s="461"/>
      <c r="S23" s="455"/>
    </row>
    <row r="24" spans="1:19" x14ac:dyDescent="0.2">
      <c r="A24" s="252"/>
      <c r="B24" s="24"/>
      <c r="C24" s="24"/>
      <c r="D24" s="24"/>
      <c r="E24" s="24"/>
      <c r="F24" s="24"/>
      <c r="G24" s="24"/>
      <c r="H24" s="262"/>
      <c r="K24" s="455"/>
      <c r="L24" s="460"/>
      <c r="M24" s="458">
        <v>16</v>
      </c>
      <c r="N24" s="459">
        <f>IF(Kostenrechner!$J$28=1,Kostenrechner!$S$21+SUM(Kostenrechner!$T$21:T36),IF(Kostenrechner!$J$28=2,SUM(Kostenrechner!$U$21:U36)))</f>
        <v>14225.101008526866</v>
      </c>
      <c r="O24" s="459">
        <f>IF(Kostenrechner!$J$28=1,Kostenrechner!$V$21+SUM(Kostenrechner!$W$21:W36),IF(Kostenrechner!$J$28=2,SUM(Kostenrechner!$X$21:X36)))</f>
        <v>25003.926764922016</v>
      </c>
      <c r="P24" s="459">
        <f>IF(Kostenrechner!$J$28=1,Kostenrechner!$Y$21+SUM(Kostenrechner!$Z$21:Z36),IF(Kostenrechner!$J$28=2,SUM(Kostenrechner!$AA$21:AA36)))</f>
        <v>31091.026826980946</v>
      </c>
      <c r="Q24" s="399"/>
      <c r="R24" s="461"/>
      <c r="S24" s="455"/>
    </row>
    <row r="25" spans="1:19" x14ac:dyDescent="0.2">
      <c r="A25" s="252"/>
      <c r="B25" s="24"/>
      <c r="C25" s="24"/>
      <c r="D25" s="24"/>
      <c r="E25" s="24"/>
      <c r="F25" s="24"/>
      <c r="G25" s="24"/>
      <c r="H25" s="262"/>
      <c r="K25" s="455"/>
      <c r="L25" s="460"/>
      <c r="M25" s="458">
        <v>17</v>
      </c>
      <c r="N25" s="459">
        <f>IF(Kostenrechner!$J$28=1,Kostenrechner!$S$21+SUM(Kostenrechner!$T$21:T37),IF(Kostenrechner!$J$28=2,SUM(Kostenrechner!$U$21:U37)))</f>
        <v>14481.854038782672</v>
      </c>
      <c r="O25" s="459">
        <f>IF(Kostenrechner!$J$28=1,Kostenrechner!$V$21+SUM(Kostenrechner!$W$21:W37),IF(Kostenrechner!$J$28=2,SUM(Kostenrechner!$X$21:X37)))</f>
        <v>25453.244567869679</v>
      </c>
      <c r="P25" s="459">
        <f>IF(Kostenrechner!$J$28=1,Kostenrechner!$Y$21+SUM(Kostenrechner!$Z$21:Z37),IF(Kostenrechner!$J$28=2,SUM(Kostenrechner!$AA$21:AA37)))</f>
        <v>31715.257631790373</v>
      </c>
      <c r="Q25" s="399"/>
      <c r="R25" s="461"/>
      <c r="S25" s="455"/>
    </row>
    <row r="26" spans="1:19" x14ac:dyDescent="0.2">
      <c r="A26" s="252"/>
      <c r="B26" s="24"/>
      <c r="C26" s="24"/>
      <c r="D26" s="24"/>
      <c r="E26" s="24"/>
      <c r="F26" s="24"/>
      <c r="G26" s="24"/>
      <c r="H26" s="262"/>
      <c r="K26" s="455"/>
      <c r="L26" s="460"/>
      <c r="M26" s="458">
        <v>18</v>
      </c>
      <c r="N26" s="459">
        <f>IF(Kostenrechner!$J$28=1,Kostenrechner!$S$21+SUM(Kostenrechner!$T$21:T38),IF(Kostenrechner!$J$28=2,SUM(Kostenrechner!$U$21:U38)))</f>
        <v>14746.309659946153</v>
      </c>
      <c r="O26" s="459">
        <f>IF(Kostenrechner!$J$28=1,Kostenrechner!$V$21+SUM(Kostenrechner!$W$21:W38),IF(Kostenrechner!$J$28=2,SUM(Kostenrechner!$X$21:X38)))</f>
        <v>25916.041904905767</v>
      </c>
      <c r="P26" s="459">
        <f>IF(Kostenrechner!$J$28=1,Kostenrechner!$Y$21+SUM(Kostenrechner!$Z$21:Z38),IF(Kostenrechner!$J$28=2,SUM(Kostenrechner!$AA$21:AA38)))</f>
        <v>32358.215360744085</v>
      </c>
      <c r="Q26" s="399"/>
      <c r="R26" s="461"/>
      <c r="S26" s="455"/>
    </row>
    <row r="27" spans="1:19" x14ac:dyDescent="0.2">
      <c r="A27" s="252"/>
      <c r="B27" s="24"/>
      <c r="C27" s="24"/>
      <c r="D27" s="24"/>
      <c r="E27" s="24"/>
      <c r="F27" s="24"/>
      <c r="G27" s="24"/>
      <c r="H27" s="262"/>
      <c r="K27" s="455"/>
      <c r="L27" s="460"/>
      <c r="M27" s="458">
        <v>19</v>
      </c>
      <c r="N27" s="459">
        <f>IF(Kostenrechner!$J$28=1,Kostenrechner!$S$21+SUM(Kostenrechner!$T$21:T39),IF(Kostenrechner!$J$28=2,SUM(Kostenrechner!$U$21:U39)))</f>
        <v>15018.698949744537</v>
      </c>
      <c r="O27" s="459">
        <f>IF(Kostenrechner!$J$28=1,Kostenrechner!$V$21+SUM(Kostenrechner!$W$21:W39),IF(Kostenrechner!$J$28=2,SUM(Kostenrechner!$X$21:X39)))</f>
        <v>26392.723162052942</v>
      </c>
      <c r="P27" s="459">
        <f>IF(Kostenrechner!$J$28=1,Kostenrechner!$Y$21+SUM(Kostenrechner!$Z$21:Z39),IF(Kostenrechner!$J$28=2,SUM(Kostenrechner!$AA$21:AA39)))</f>
        <v>33020.461821566409</v>
      </c>
      <c r="Q27" s="399"/>
      <c r="R27" s="461"/>
      <c r="S27" s="455"/>
    </row>
    <row r="28" spans="1:19" x14ac:dyDescent="0.2">
      <c r="A28" s="252"/>
      <c r="B28" s="24"/>
      <c r="C28" s="24"/>
      <c r="D28" s="24"/>
      <c r="E28" s="24"/>
      <c r="F28" s="24"/>
      <c r="G28" s="24"/>
      <c r="H28" s="262"/>
      <c r="K28" s="455"/>
      <c r="L28" s="460"/>
      <c r="M28" s="458">
        <v>20</v>
      </c>
      <c r="N28" s="459">
        <f>IF(Kostenrechner!$J$28=1,Kostenrechner!$S$21+SUM(Kostenrechner!$T$21:T40),IF(Kostenrechner!$J$28=2,SUM(Kostenrechner!$U$21:U40)))</f>
        <v>15299.259918236874</v>
      </c>
      <c r="O28" s="459">
        <f>IF(Kostenrechner!$J$28=1,Kostenrechner!$V$21+SUM(Kostenrechner!$W$21:W40),IF(Kostenrechner!$J$28=2,SUM(Kostenrechner!$X$21:X40)))</f>
        <v>26883.70485691453</v>
      </c>
      <c r="P28" s="459">
        <f>IF(Kostenrechner!$J$28=1,Kostenrechner!$Y$21+SUM(Kostenrechner!$Z$21:Z40),IF(Kostenrechner!$J$28=2,SUM(Kostenrechner!$AA$21:AA40)))</f>
        <v>33702.575676213397</v>
      </c>
      <c r="Q28" s="399"/>
      <c r="R28" s="461"/>
      <c r="S28" s="455"/>
    </row>
    <row r="29" spans="1:19" x14ac:dyDescent="0.2">
      <c r="A29" s="252"/>
      <c r="B29" s="24"/>
      <c r="C29" s="24"/>
      <c r="D29" s="24"/>
      <c r="E29" s="24"/>
      <c r="F29" s="24"/>
      <c r="G29" s="24"/>
      <c r="H29" s="262"/>
      <c r="K29" s="455"/>
      <c r="L29" s="460"/>
      <c r="M29" s="460"/>
      <c r="N29" s="460"/>
      <c r="O29" s="460"/>
      <c r="P29" s="460"/>
      <c r="Q29" s="460"/>
      <c r="R29" s="461"/>
      <c r="S29" s="455"/>
    </row>
    <row r="30" spans="1:19" x14ac:dyDescent="0.2">
      <c r="A30" s="252"/>
      <c r="B30" s="24"/>
      <c r="C30" s="24"/>
      <c r="D30" s="24"/>
      <c r="E30" s="24"/>
      <c r="F30" s="24"/>
      <c r="G30" s="24"/>
      <c r="H30" s="262"/>
      <c r="K30" s="455"/>
      <c r="L30" s="456"/>
      <c r="M30" s="456"/>
      <c r="N30" s="456"/>
      <c r="O30" s="456"/>
      <c r="P30" s="456"/>
      <c r="Q30" s="456"/>
      <c r="R30" s="455"/>
      <c r="S30" s="455"/>
    </row>
    <row r="31" spans="1:19" x14ac:dyDescent="0.2">
      <c r="A31" s="252"/>
      <c r="B31" s="24"/>
      <c r="C31" s="24"/>
      <c r="D31" s="24"/>
      <c r="E31" s="24"/>
      <c r="F31" s="24"/>
      <c r="G31" s="24"/>
      <c r="H31" s="262"/>
      <c r="L31" s="367"/>
      <c r="M31" s="367"/>
      <c r="N31" s="367"/>
      <c r="O31" s="367"/>
      <c r="P31" s="367"/>
      <c r="Q31" s="367"/>
    </row>
    <row r="32" spans="1:19" x14ac:dyDescent="0.2">
      <c r="A32" s="252"/>
      <c r="B32" s="24"/>
      <c r="C32" s="24"/>
      <c r="D32" s="24"/>
      <c r="E32" s="24"/>
      <c r="F32" s="24"/>
      <c r="G32" s="24"/>
      <c r="H32" s="262"/>
      <c r="L32" s="367"/>
      <c r="M32" s="367"/>
      <c r="N32" s="367"/>
      <c r="O32" s="367"/>
      <c r="P32" s="367"/>
      <c r="Q32" s="367"/>
    </row>
    <row r="33" spans="1:8" x14ac:dyDescent="0.2">
      <c r="A33" s="252"/>
      <c r="B33" s="24"/>
      <c r="C33" s="24"/>
      <c r="D33" s="24"/>
      <c r="E33" s="24"/>
      <c r="F33" s="24"/>
      <c r="G33" s="24"/>
      <c r="H33" s="262"/>
    </row>
    <row r="34" spans="1:8" ht="15.75" customHeight="1" x14ac:dyDescent="0.2">
      <c r="A34" s="252"/>
      <c r="B34" s="24"/>
      <c r="C34" s="24"/>
      <c r="D34" s="24"/>
      <c r="E34" s="24"/>
      <c r="F34" s="24"/>
      <c r="G34" s="24"/>
      <c r="H34" s="262"/>
    </row>
    <row r="35" spans="1:8" x14ac:dyDescent="0.2">
      <c r="A35" s="252"/>
      <c r="B35" s="24"/>
      <c r="C35" s="24"/>
      <c r="D35" s="24"/>
      <c r="E35" s="24"/>
      <c r="F35" s="24"/>
      <c r="G35" s="24"/>
      <c r="H35" s="262"/>
    </row>
    <row r="36" spans="1:8" ht="30" customHeight="1" x14ac:dyDescent="0.2">
      <c r="A36" s="253"/>
      <c r="B36" s="266"/>
      <c r="C36" s="266"/>
      <c r="D36" s="266"/>
      <c r="E36" s="266"/>
      <c r="F36" s="266"/>
      <c r="G36" s="266"/>
      <c r="H36" s="263"/>
    </row>
  </sheetData>
  <sheetProtection selectLockedCells="1"/>
  <customSheetViews>
    <customSheetView guid="{FE27F3BB-8686-48A9-9FE6-C2348F62E79E}" showGridLines="0" state="hidden">
      <selection activeCell="L27" sqref="L27"/>
      <pageMargins left="0.70866141732283472" right="0.70866141732283472" top="0.78740157480314965" bottom="0.59055118110236227" header="0.31496062992125984" footer="0.31496062992125984"/>
      <pageSetup paperSize="9" orientation="landscape" r:id="rId1"/>
    </customSheetView>
  </customSheetViews>
  <mergeCells count="1">
    <mergeCell ref="A1:H1"/>
  </mergeCells>
  <pageMargins left="0.70866141732283472" right="0.70866141732283472" top="0.78740157480314965" bottom="0.59055118110236227" header="0.31496062992125984" footer="0.31496062992125984"/>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Erklärung</vt:lpstr>
      <vt:lpstr>Basisdaten</vt:lpstr>
      <vt:lpstr>Vereinfachtes Verfahren</vt:lpstr>
      <vt:lpstr>Alternativenprüfung</vt:lpstr>
      <vt:lpstr>Wirtschaftlichkeitsberechnung</vt:lpstr>
      <vt:lpstr>Kostenzusammenstellung</vt:lpstr>
      <vt:lpstr>Kostenrechner</vt:lpstr>
      <vt:lpstr>Grafiken Kostenrechner</vt:lpstr>
      <vt:lpstr>Alternativenprüfung!Druckbereich</vt:lpstr>
      <vt:lpstr>Basisdaten!Druckbereich</vt:lpstr>
      <vt:lpstr>'Vereinfachtes Verfahren'!Druckbereich</vt:lpstr>
      <vt:lpstr>Wirtschaftlichkeitsberechnung!Druckbereich</vt:lpstr>
      <vt:lpstr>Alternativenprüfung!Print_Area</vt:lpstr>
      <vt:lpstr>Basisdaten!Print_Area</vt:lpstr>
      <vt:lpstr>Erklärung!Print_Area</vt:lpstr>
      <vt:lpstr>'Grafiken Kostenrechner'!Print_Area</vt:lpstr>
      <vt:lpstr>Kostenrechner!Print_Area</vt:lpstr>
      <vt:lpstr>'Vereinfachtes Verfahren'!Print_Area</vt:lpstr>
      <vt:lpstr>Wirtschaftlichkeitsberechnung!Print_Area</vt:lpstr>
      <vt:lpstr>Alternativenprüfung!Print_Titles</vt:lpstr>
      <vt:lpstr>Wirtschaftlichkeitsberechnung!Print_Titles</vt:lpstr>
    </vt:vector>
  </TitlesOfParts>
  <Company>Tiroler Gemeindeverband &amp; ENERGIE TIROL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Bauansuchen und Baubeschreibung</dc:title>
  <dc:creator>Arbeitsgruppe Baueingabe</dc:creator>
  <cp:keywords>A3 Bogen bzw. 4 A4 Seiten</cp:keywords>
  <dc:description>als weitere Grundlagen steht das Berechnungsprogramm zum Tiroler NiedrigEnergieHaus zur Verfügung</dc:description>
  <cp:lastModifiedBy>Ing. Klaus Amprosi / Gemeinde Oetz</cp:lastModifiedBy>
  <cp:lastPrinted>2016-07-19T14:49:08Z</cp:lastPrinted>
  <dcterms:created xsi:type="dcterms:W3CDTF">2000-06-05T18:55:31Z</dcterms:created>
  <dcterms:modified xsi:type="dcterms:W3CDTF">2016-09-08T06:27:17Z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